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d.docs.live.net/555352f421f4b5e5/Desktop/PROJETOS/2024/PAVIMENTAÇAO DE VIAS CAIXA/LICITAÇAO 2025/"/>
    </mc:Choice>
  </mc:AlternateContent>
  <xr:revisionPtr revIDLastSave="75" documentId="8_{DEE3CF9B-FA63-4E12-8C53-D2B1EE498441}" xr6:coauthVersionLast="47" xr6:coauthVersionMax="47" xr10:uidLastSave="{8419CD3D-D5BF-4E06-9239-13DE7AF2CBDA}"/>
  <bookViews>
    <workbookView xWindow="-28920" yWindow="-75" windowWidth="29040" windowHeight="15840" xr2:uid="{00000000-000D-0000-FFFF-FFFF00000000}"/>
  </bookViews>
  <sheets>
    <sheet name="PLANILHA" sheetId="11" r:id="rId1"/>
    <sheet name="CRONOGRAMA" sheetId="13" r:id="rId2"/>
    <sheet name="COMPOSIÇÃO BDI" sheetId="12" r:id="rId3"/>
  </sheets>
  <externalReferences>
    <externalReference r:id="rId4"/>
  </externalReferences>
  <definedNames>
    <definedName name="_xlnm.Print_Area" localSheetId="0">PLANILHA!$A$1:$AM$83</definedName>
    <definedName name="_xlnm.Print_Titles" localSheetId="0">PLANILHA!$2:$29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3" l="1"/>
  <c r="F29" i="13"/>
  <c r="E29" i="13"/>
  <c r="I30" i="13"/>
  <c r="F30" i="13"/>
  <c r="F20" i="13"/>
  <c r="F18" i="13"/>
  <c r="E30" i="13"/>
  <c r="E14" i="13"/>
  <c r="I18" i="13"/>
  <c r="D30" i="13"/>
  <c r="D20" i="13"/>
  <c r="D18" i="13"/>
  <c r="D16" i="13"/>
  <c r="D14" i="13"/>
  <c r="D12" i="13"/>
  <c r="D10" i="13"/>
  <c r="AE69" i="11"/>
  <c r="AA69" i="11"/>
  <c r="AE68" i="11"/>
  <c r="AH68" i="11" s="1"/>
  <c r="AA68" i="11"/>
  <c r="AA33" i="11"/>
  <c r="AE33" i="11"/>
  <c r="AH33" i="11" s="1"/>
  <c r="AA73" i="11"/>
  <c r="AH73" i="11"/>
  <c r="AA74" i="11"/>
  <c r="AE74" i="11"/>
  <c r="AH74" i="11" s="1"/>
  <c r="AE56" i="11"/>
  <c r="AH56" i="11" s="1"/>
  <c r="AA56" i="11"/>
  <c r="AA58" i="11"/>
  <c r="AE58" i="11"/>
  <c r="AH58" i="11" s="1"/>
  <c r="I8" i="12"/>
  <c r="AA50" i="11"/>
  <c r="AE50" i="11"/>
  <c r="AE40" i="11"/>
  <c r="AH40" i="11" s="1"/>
  <c r="AA40" i="11"/>
  <c r="AE42" i="11"/>
  <c r="AH42" i="11" s="1"/>
  <c r="AA42" i="11"/>
  <c r="AE41" i="11"/>
  <c r="AH41" i="11" s="1"/>
  <c r="AA41" i="11"/>
  <c r="AA70" i="11"/>
  <c r="AE70" i="11"/>
  <c r="AH70" i="11" s="1"/>
  <c r="AA66" i="11"/>
  <c r="AE66" i="11"/>
  <c r="AH66" i="11" s="1"/>
  <c r="AA67" i="11"/>
  <c r="AE67" i="11"/>
  <c r="AH67" i="11" s="1"/>
  <c r="AA62" i="11"/>
  <c r="AA63" i="11" l="1"/>
  <c r="AE63" i="11"/>
  <c r="AA64" i="11"/>
  <c r="AE64" i="11"/>
  <c r="AH64" i="11" s="1"/>
  <c r="AA65" i="11"/>
  <c r="AE65" i="11"/>
  <c r="AH65" i="11" s="1"/>
  <c r="I14" i="13"/>
  <c r="I13" i="13"/>
  <c r="I15" i="13"/>
  <c r="F16" i="13"/>
  <c r="I16" i="13" s="1"/>
  <c r="AE57" i="11"/>
  <c r="AA57" i="11"/>
  <c r="F51" i="11"/>
  <c r="AA51" i="11"/>
  <c r="AE51" i="11"/>
  <c r="AH51" i="11" s="1"/>
  <c r="F52" i="11"/>
  <c r="AA52" i="11"/>
  <c r="AE52" i="11"/>
  <c r="AH52" i="11" s="1"/>
  <c r="AA71" i="11" l="1"/>
  <c r="AA43" i="11"/>
  <c r="AE43" i="11"/>
  <c r="AH43" i="11" s="1"/>
  <c r="AA44" i="11"/>
  <c r="AE44" i="11"/>
  <c r="AH44" i="11" s="1"/>
  <c r="I20" i="13" l="1"/>
  <c r="AE36" i="11" l="1"/>
  <c r="AE32" i="11"/>
  <c r="AE31" i="11"/>
  <c r="I17" i="13" l="1"/>
  <c r="I11" i="13"/>
  <c r="I10" i="13"/>
  <c r="I9" i="13"/>
  <c r="AE53" i="11" l="1"/>
  <c r="AA53" i="11"/>
  <c r="AE49" i="11"/>
  <c r="AA49" i="11"/>
  <c r="AE48" i="11"/>
  <c r="AH48" i="11" s="1"/>
  <c r="AA48" i="11"/>
  <c r="AA32" i="11" l="1"/>
  <c r="AH32" i="11"/>
  <c r="AH34" i="11" s="1"/>
  <c r="AE45" i="11" l="1"/>
  <c r="AH45" i="11" l="1"/>
  <c r="E10" i="13"/>
  <c r="E12" i="13"/>
  <c r="AE38" i="11"/>
  <c r="AE37" i="11"/>
  <c r="AH37" i="11" s="1"/>
  <c r="I12" i="13" l="1"/>
  <c r="AA45" i="11"/>
  <c r="I29" i="13" l="1"/>
  <c r="AE62" i="11"/>
  <c r="AH62" i="11" s="1"/>
  <c r="AE59" i="11" l="1"/>
  <c r="AE39" i="11"/>
  <c r="AH39" i="11" s="1"/>
  <c r="AH36" i="11"/>
  <c r="O42" i="12" l="1"/>
  <c r="I50" i="12" l="1"/>
  <c r="I49" i="12"/>
  <c r="A45" i="12"/>
  <c r="A46" i="12" s="1"/>
  <c r="C44" i="12"/>
  <c r="I42" i="12"/>
  <c r="A39" i="12"/>
  <c r="C39" i="12" s="1"/>
  <c r="C38" i="12"/>
  <c r="I35" i="12"/>
  <c r="M32" i="12"/>
  <c r="I29" i="12"/>
  <c r="A28" i="12"/>
  <c r="A29" i="12" s="1"/>
  <c r="C27" i="12"/>
  <c r="N24" i="12"/>
  <c r="N26" i="12" s="1"/>
  <c r="M22" i="12"/>
  <c r="I22" i="12"/>
  <c r="A22" i="12"/>
  <c r="A23" i="12" s="1"/>
  <c r="C23" i="12" s="1"/>
  <c r="M21" i="12"/>
  <c r="I21" i="12"/>
  <c r="C21" i="12"/>
  <c r="M20" i="12"/>
  <c r="I20" i="12"/>
  <c r="M19" i="12"/>
  <c r="I19" i="12"/>
  <c r="M18" i="12"/>
  <c r="I18" i="12"/>
  <c r="A15" i="12"/>
  <c r="C15" i="12" s="1"/>
  <c r="C14" i="12"/>
  <c r="C13" i="12"/>
  <c r="C12" i="12"/>
  <c r="O25" i="12"/>
  <c r="C11" i="12"/>
  <c r="C10" i="12"/>
  <c r="C9" i="12"/>
  <c r="C8" i="12"/>
  <c r="K5" i="12"/>
  <c r="A3" i="12"/>
  <c r="A4" i="12" s="1"/>
  <c r="C2" i="12"/>
  <c r="C22" i="12" l="1"/>
  <c r="C3" i="12"/>
  <c r="C28" i="12"/>
  <c r="C45" i="12"/>
  <c r="N27" i="12"/>
  <c r="A5" i="12"/>
  <c r="C4" i="12"/>
  <c r="A32" i="12"/>
  <c r="C29" i="12"/>
  <c r="A47" i="12"/>
  <c r="C46" i="12"/>
  <c r="A17" i="12"/>
  <c r="A24" i="12"/>
  <c r="L32" i="12"/>
  <c r="M33" i="12"/>
  <c r="I37" i="12"/>
  <c r="A40" i="12"/>
  <c r="C17" i="12" l="1"/>
  <c r="A18" i="12"/>
  <c r="A48" i="12"/>
  <c r="C47" i="12"/>
  <c r="C32" i="12"/>
  <c r="A33" i="12"/>
  <c r="A6" i="12"/>
  <c r="C5" i="12"/>
  <c r="C40" i="12"/>
  <c r="A41" i="12"/>
  <c r="A25" i="12"/>
  <c r="C24" i="12"/>
  <c r="C41" i="12" l="1"/>
  <c r="A42" i="12"/>
  <c r="A34" i="12"/>
  <c r="C34" i="12" s="1"/>
  <c r="C33" i="12"/>
  <c r="A19" i="12"/>
  <c r="C18" i="12"/>
  <c r="A26" i="12"/>
  <c r="C26" i="12" s="1"/>
  <c r="C25" i="12"/>
  <c r="A7" i="12"/>
  <c r="C7" i="12" s="1"/>
  <c r="R22" i="12" s="1"/>
  <c r="C6" i="12"/>
  <c r="Q18" i="12" s="1"/>
  <c r="A49" i="12"/>
  <c r="C49" i="12" s="1"/>
  <c r="C48" i="12"/>
  <c r="A20" i="12" l="1"/>
  <c r="C20" i="12" s="1"/>
  <c r="C19" i="12"/>
  <c r="Q26" i="12"/>
  <c r="P21" i="12"/>
  <c r="R18" i="12"/>
  <c r="R26" i="12"/>
  <c r="P26" i="12"/>
  <c r="R21" i="12"/>
  <c r="Q19" i="12"/>
  <c r="Q20" i="12"/>
  <c r="P19" i="12"/>
  <c r="Q22" i="12"/>
  <c r="P20" i="12"/>
  <c r="R19" i="12"/>
  <c r="Q21" i="12"/>
  <c r="P22" i="12"/>
  <c r="R20" i="12"/>
  <c r="P18" i="12"/>
  <c r="C42" i="12"/>
  <c r="A43" i="12"/>
  <c r="C43" i="12" s="1"/>
  <c r="O26" i="12" l="1"/>
  <c r="O27" i="12" s="1"/>
  <c r="AH59" i="11"/>
  <c r="AH60" i="11" s="1"/>
  <c r="AA30" i="11" l="1"/>
  <c r="AE30" i="11"/>
  <c r="AH30" i="11"/>
  <c r="AA39" i="11" l="1"/>
  <c r="AA59" i="11"/>
  <c r="AA31" i="11"/>
  <c r="AA34" i="11" s="1"/>
  <c r="AA60" i="11" l="1"/>
  <c r="AA76" i="11" s="1"/>
  <c r="AA37" i="11" l="1"/>
  <c r="AH38" i="11"/>
  <c r="AA38" i="11" l="1"/>
  <c r="AA36" i="11"/>
  <c r="AA46" i="11" l="1"/>
  <c r="AA54" i="11" l="1"/>
  <c r="AA75" i="11" l="1"/>
  <c r="AH75" i="11" l="1"/>
  <c r="AP75" i="11" l="1"/>
  <c r="AH76" i="11" s="1"/>
</calcChain>
</file>

<file path=xl/sharedStrings.xml><?xml version="1.0" encoding="utf-8"?>
<sst xmlns="http://schemas.openxmlformats.org/spreadsheetml/2006/main" count="392" uniqueCount="230">
  <si>
    <t>ITEM</t>
  </si>
  <si>
    <t>CÓDIGO</t>
  </si>
  <si>
    <t>2.1</t>
  </si>
  <si>
    <t>3.1</t>
  </si>
  <si>
    <t>2.2</t>
  </si>
  <si>
    <t>4.1</t>
  </si>
  <si>
    <t>3.2</t>
  </si>
  <si>
    <t>m²</t>
  </si>
  <si>
    <t>2.3</t>
  </si>
  <si>
    <t xml:space="preserve">ORÇAMENTO DISCRIMINATIVO </t>
  </si>
  <si>
    <t>Proponente</t>
  </si>
  <si>
    <t>Nº do Contrato de Repasse - OGU</t>
  </si>
  <si>
    <t>Empreendimento ( Nome/Apelido)</t>
  </si>
  <si>
    <t>Município</t>
  </si>
  <si>
    <t>UF</t>
  </si>
  <si>
    <t>MG</t>
  </si>
  <si>
    <t>Programa</t>
  </si>
  <si>
    <t>Gestor (Ministério)</t>
  </si>
  <si>
    <t>Data-Base (mês de referência)</t>
  </si>
  <si>
    <t>Regime de execução das obras:</t>
  </si>
  <si>
    <t>Composição de BDI Adotada</t>
  </si>
  <si>
    <t>BDI Proposto:</t>
  </si>
  <si>
    <t>Garantia (G)</t>
  </si>
  <si>
    <t xml:space="preserve">De </t>
  </si>
  <si>
    <t>até</t>
  </si>
  <si>
    <t xml:space="preserve">  Garantia:</t>
  </si>
  <si>
    <t xml:space="preserve">Risco (R) </t>
  </si>
  <si>
    <t xml:space="preserve">  Risco:</t>
  </si>
  <si>
    <t>Despesas financeiras (DF)</t>
  </si>
  <si>
    <t xml:space="preserve">  Despesas financeiras:</t>
  </si>
  <si>
    <t>Administração Central (AC)</t>
  </si>
  <si>
    <t xml:space="preserve">  Administração central:</t>
  </si>
  <si>
    <t>Lucro (L)</t>
  </si>
  <si>
    <t xml:space="preserve">  Lucro:</t>
  </si>
  <si>
    <t>Tributos (T)</t>
  </si>
  <si>
    <t xml:space="preserve">  Tributos:</t>
  </si>
  <si>
    <t>DESCRIÇÃO DOS SERVIÇOS</t>
  </si>
  <si>
    <t xml:space="preserve">UN </t>
  </si>
  <si>
    <t>QUANT</t>
  </si>
  <si>
    <t>VALORES (R$)</t>
  </si>
  <si>
    <t>tributos</t>
  </si>
  <si>
    <t>FONTE</t>
  </si>
  <si>
    <t>CUSTO</t>
  </si>
  <si>
    <t>PREÇO</t>
  </si>
  <si>
    <t>iss</t>
  </si>
  <si>
    <t>UNITÁRIO</t>
  </si>
  <si>
    <t>TOTAL ITEM</t>
  </si>
  <si>
    <t>pis</t>
  </si>
  <si>
    <t>cofins</t>
  </si>
  <si>
    <t>SINAPI</t>
  </si>
  <si>
    <t>SUBTOTAL 1</t>
  </si>
  <si>
    <t>SUBTOTAL 2</t>
  </si>
  <si>
    <t>SUBTOTAL 3</t>
  </si>
  <si>
    <t>m</t>
  </si>
  <si>
    <t>SUBTOTAL 4</t>
  </si>
  <si>
    <t>TOTAIS:</t>
  </si>
  <si>
    <t>CUSTO:</t>
  </si>
  <si>
    <t>PREÇO:</t>
  </si>
  <si>
    <t xml:space="preserve">                      Declaro para os devidos fins que os itens apresentados neste Orçamento Discriminativo estão com os quantitativos compatíveis com os projetos / especificações técnicas que compõem a proposta do referido Contrato de Repasse e os custos unitários previstos são iguais ou inferiores à mediana do SINAPI atendendo, portanto, à Lei de Diretrizes Orçamentárias - LDO em vigor. </t>
  </si>
  <si>
    <t>DRENAGEM SUPERFICIAL</t>
  </si>
  <si>
    <t>SERVIÇOS PRELIMINARES</t>
  </si>
  <si>
    <t>2.4</t>
  </si>
  <si>
    <t>URBANIZAÇÃO</t>
  </si>
  <si>
    <t>Papagaios</t>
  </si>
  <si>
    <r>
      <t xml:space="preserve"> BDI =</t>
    </r>
    <r>
      <rPr>
        <u/>
        <sz val="11"/>
        <rFont val="Arial"/>
        <family val="2"/>
      </rPr>
      <t xml:space="preserve"> (1+AC+R+G)X(1+DF)x(1+L)</t>
    </r>
    <r>
      <rPr>
        <sz val="11"/>
        <rFont val="Arial"/>
        <family val="2"/>
      </rPr>
      <t xml:space="preserve">)  -1
                                  1-T
  </t>
    </r>
    <r>
      <rPr>
        <u/>
        <sz val="11"/>
        <rFont val="Arial"/>
        <family val="2"/>
      </rPr>
      <t>Observação</t>
    </r>
    <r>
      <rPr>
        <sz val="11"/>
        <rFont val="Arial"/>
        <family val="2"/>
      </rPr>
      <t>:
  i)   Composição do BDI, intervalos admissíveis e Fórmula de cálculo nos termos do Acórdão 2622/2013  do TCU.</t>
    </r>
  </si>
  <si>
    <t>PREFEITURA MUNICIPAL DE PAPAGAIOS</t>
  </si>
  <si>
    <t>MIN</t>
  </si>
  <si>
    <t>MED</t>
  </si>
  <si>
    <t>MAX</t>
  </si>
  <si>
    <t>Construção e Reforma de Edifícios</t>
  </si>
  <si>
    <t>AC</t>
  </si>
  <si>
    <t>SG</t>
  </si>
  <si>
    <t>R</t>
  </si>
  <si>
    <t>Nº TC/CR</t>
  </si>
  <si>
    <t>PROPONENTE / TOMADOR</t>
  </si>
  <si>
    <t>DF</t>
  </si>
  <si>
    <t>L</t>
  </si>
  <si>
    <t>BDI PAD</t>
  </si>
  <si>
    <t>OBJETO</t>
  </si>
  <si>
    <t>Construção de Praças Urbanas, Rodovias, Ferrovias e recapeamento e pavimentação de vias urbanas</t>
  </si>
  <si>
    <t>TIPO DE OBRA DO EMPREENDIMENTO</t>
  </si>
  <si>
    <t>DESONERAÇÃO</t>
  </si>
  <si>
    <t>Conforme legislação tributária municipal, definir estimativa de percentual da base de cálculo para o ISS:</t>
  </si>
  <si>
    <t>Construção de Redes de Abastecimento de Água, Coleta de Esgoto</t>
  </si>
  <si>
    <t>Sobre a base de cálculo, definir a respectiva alíquota do ISS (entre 2% e 5%):</t>
  </si>
  <si>
    <t>Itens</t>
  </si>
  <si>
    <t>Siglas</t>
  </si>
  <si>
    <t>% Adotado</t>
  </si>
  <si>
    <t>Situação</t>
  </si>
  <si>
    <t>1º Quartil</t>
  </si>
  <si>
    <t>Médio</t>
  </si>
  <si>
    <t>3º Quartil</t>
  </si>
  <si>
    <t>-</t>
  </si>
  <si>
    <t>Construção e Manutenção de Estações e Redes de Distribuição de Energia Elétrica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</si>
  <si>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</si>
  <si>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</si>
  <si>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</si>
  <si>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</si>
  <si>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</si>
  <si>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</si>
  <si>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
(Fórmula Acórdão TCU)</t>
  </si>
  <si>
    <t>Obras Portuárias, Marítimas e Fluviais</t>
  </si>
  <si>
    <t>BDI COM desoneração</t>
  </si>
  <si>
    <t>BDI DES</t>
  </si>
  <si>
    <t>Anexo: Relatório Técnico Circunstanciado justificando a adoção do percentual de cada parcela do BDI.</t>
  </si>
  <si>
    <t>Os valores de BDI foram calculados com o emprego da fórmula:</t>
  </si>
  <si>
    <t xml:space="preserve"> - 1</t>
  </si>
  <si>
    <t>Fornecimento de Materiais e Equipamentos (aquisição indireta - em conjunto com licitação de obras)</t>
  </si>
  <si>
    <t>Observações:</t>
  </si>
  <si>
    <t>Local</t>
  </si>
  <si>
    <t>Data</t>
  </si>
  <si>
    <t>Estudos e Projetos, Planos e Gerenciamento e outros correlatos</t>
  </si>
  <si>
    <t>K1</t>
  </si>
  <si>
    <t>K2</t>
  </si>
  <si>
    <t/>
  </si>
  <si>
    <t>Responsável Técnico</t>
  </si>
  <si>
    <t>Responsável Tomador</t>
  </si>
  <si>
    <t>Nome:</t>
  </si>
  <si>
    <t>K3</t>
  </si>
  <si>
    <t>Título:</t>
  </si>
  <si>
    <t>Cargo:</t>
  </si>
  <si>
    <t>QUADRO COMPOSIÇÃO BDI</t>
  </si>
  <si>
    <t>EMPREITADA POR PREÇO GLOBAL</t>
  </si>
  <si>
    <t>M³Xkm</t>
  </si>
  <si>
    <t>CRONOGRAMA FÍSICO-FINANCEIRO</t>
  </si>
  <si>
    <t xml:space="preserve">PREFEITURA:MUNICIPAL DE PAPAGAIOS </t>
  </si>
  <si>
    <t>ETAPAS/DESCRIÇÃO</t>
  </si>
  <si>
    <t>FÍSICO/ FINANCEIRO</t>
  </si>
  <si>
    <t>TOTAL  ETAPAS</t>
  </si>
  <si>
    <t>MÊS 1</t>
  </si>
  <si>
    <t>MÊS 2</t>
  </si>
  <si>
    <t>MÊS 3</t>
  </si>
  <si>
    <t>Físico %</t>
  </si>
  <si>
    <t>Financeiro</t>
  </si>
  <si>
    <t>TOTAL</t>
  </si>
  <si>
    <t>LOCAL:DIVERSAS RUAS PAPAGAIOS MG</t>
  </si>
  <si>
    <t>PAVIMENTAÇAO ASFALTICA</t>
  </si>
  <si>
    <t>KARINA ERICA DE OLIVEIRA</t>
  </si>
  <si>
    <t xml:space="preserve">ARQUITETA </t>
  </si>
  <si>
    <t>A42262-2</t>
  </si>
  <si>
    <t>M3</t>
  </si>
  <si>
    <t>M3/KM</t>
  </si>
  <si>
    <t>EXECUÇÃO E COMPACTAÇÃO DE BASE E OU SUB-BASE PARA PAVIMENTAÇÃO DE SOLO 
(PREDOMINANTEMENTE ARGILOSO) BRITA - 50/50 - EXCLUSIVE SOLO, ESCAVAÇÃO, CARGA E TRANSPORTE. AF_11/2019</t>
  </si>
  <si>
    <t>M2</t>
  </si>
  <si>
    <t>1.2</t>
  </si>
  <si>
    <t>RECAPEAMENTO</t>
  </si>
  <si>
    <t>CR 920291/2021</t>
  </si>
  <si>
    <t>NÃO</t>
  </si>
  <si>
    <t>6.1</t>
  </si>
  <si>
    <t>MÊS 4</t>
  </si>
  <si>
    <t>RT KARINA ERICA DE OLIVEIRA</t>
  </si>
  <si>
    <t>_______________________________________________________________________________________________________________________________________________________________________________________________</t>
  </si>
  <si>
    <t>CAU A42262-2___________________________________________</t>
  </si>
  <si>
    <t>SUBTOTAL 6</t>
  </si>
  <si>
    <t>REGULARIZAÇÃO E COMPACTAÇÃO DE SUBLEITO DE SOLO PREDOMINANTEMENTE ARGILOSO.</t>
  </si>
  <si>
    <t>EXECUÇÃO DE PAVIMENTO COM APLICAÇÃO DE CONCRETO ASFÁLTICO, CAMADA DE ROLAMENTO - EXCLUSIVE CARGA E TRANSPORTE.</t>
  </si>
  <si>
    <t>Rislâine de Faria Cançado</t>
  </si>
  <si>
    <t>PREFEITA MUNICIPAL</t>
  </si>
  <si>
    <t>KARINA ERICA DE OLIVEIRA  ARQUITETA CAU A42262-2</t>
  </si>
  <si>
    <t>1.1</t>
  </si>
  <si>
    <t>FORNECIMENTO E INSTALAÇÃO DE PLACA DE OBRA COM CHAPA GALVANIZADA E EST RUTURA DE MADEIRA.</t>
  </si>
  <si>
    <t>LIMPEZA MECANIZADA DE CAMADA VEGETAL, VEGETAÇÃO E PEQUENAS ÁRVORES DIÂMETRO DE TRONCO MENOR QUE 0,20 M), COM TRATOR DE ESTEIRAS.</t>
  </si>
  <si>
    <t>ADMINISTRAÇAO LOCAL</t>
  </si>
  <si>
    <t>SUBTOTAL 8</t>
  </si>
  <si>
    <t>2.10</t>
  </si>
  <si>
    <t xml:space="preserve">TRANSPORTE COM CAMINHÃO BASCULANTE DE 14 M³, EM VIA URBANA PAVIMENTADA, M3XKM DMT ATÉ 30 KM </t>
  </si>
  <si>
    <t>TXKM</t>
  </si>
  <si>
    <t>TRANSPORTE COM CAMINHAO BASCULANTE DE 14 M3, EM VIA URBANA PAVIMENTADA DMT ATE 30 KM</t>
  </si>
  <si>
    <t>M3XKM</t>
  </si>
  <si>
    <t>TRANSPORTE COM CAMINHÃO BASCULANTE DE 14M³, EM VIA URBANA PAVIMENTADA M3XKM  , ADICIONAL PARA DMT EXCEDENTE A 30 KM</t>
  </si>
  <si>
    <t>3.4</t>
  </si>
  <si>
    <t>3.5</t>
  </si>
  <si>
    <t>3.6</t>
  </si>
  <si>
    <t>TRANSPORTE COM CAMINHÃO BASCULANTE DE 14 M³, EM VIA URBANA PAVIMENTADA M3XKM  , ADICIONAL PARA DMT EXCEDENTE A 30 KM (UNIDADE: M3XKM). AF_07/2020</t>
  </si>
  <si>
    <t>4.2</t>
  </si>
  <si>
    <t>ENGENHEIRO CIVIL DE OBRA PLENO COM ENCARGOS COMPLEMENTARES</t>
  </si>
  <si>
    <t>ENCARREGADO GERAL COM ENCARGOS COMPLEMENTARES</t>
  </si>
  <si>
    <t>Pavimentação e Melhoria de Vias no Município de Papagaios-MG</t>
  </si>
  <si>
    <t>EXECUÇÃO DE PASSEIO (CALÇADA) OU PISO DE CONCRETO COM CONCRETO MOLDADO M3 CR 762,82
 IN LOCO, FEITO EM OBRA, ACABAMENTO CONVENCIONAL, NÃO ARMADO. A</t>
  </si>
  <si>
    <t>m3</t>
  </si>
  <si>
    <t>SUDECAP</t>
  </si>
  <si>
    <t>IMPRIMAÇÃO COM EMULSÃO ASFÁLTICA - EAI, LIMPEZA MANUAL</t>
  </si>
  <si>
    <t>20.11.05</t>
  </si>
  <si>
    <t>PINTURA DE LIGAÇÃO COM RR-1C</t>
  </si>
  <si>
    <t>20.12.01</t>
  </si>
  <si>
    <t>TRANSPORTE COM CAMINHÃO TANQUE DE TRANSPORTE DE MATERIAL ASFÁLTICO DE   30000 L, EM VIA URBANA PAVIMENTADA, DMT ATÉ 30KM (UNIDADE: TXKM). AF_0</t>
  </si>
  <si>
    <t>EXECUÇÃO DE SARJETA DE CONCRETO USINADO, MOLDADA  IN LOCO  EM TRECHO RETO, 45 CM BASE X 10 CM ALTURA. AF_01/2024</t>
  </si>
  <si>
    <t>6.2</t>
  </si>
  <si>
    <t xml:space="preserve">PINTURA DE SÍMBOLOS E TEXTOS COM TINTA ACRÍLICA, DEMARCAÇÃO COM FITA A DESIVA E APLICAÇÃO COM ROLO. </t>
  </si>
  <si>
    <t>M</t>
  </si>
  <si>
    <t>PINTURA DE FAIXA DE PEDESTRE OU ZEBRADA COM TINTA EPÓXI, E = 30 CM, A PLICAÇÃO MANUAL. AF_05/2021</t>
  </si>
  <si>
    <t>PINTURA DE EIXO VIÁRIO SOBRE ASFALTO COM TINTA RETRORREFLETIVA A BASE  DE RESINA ACRÍLICA COM MICROESFERAS DE VIDRO, APLICAÇÃO MECÂNICA COM DEMARCADORA AUTOPROPELIDA. AF_05/2021</t>
  </si>
  <si>
    <t>PLACA DE ALUMÍNIO, DIMENSÃO (15X15)CM, COM PICTOGRAMA
EM PELÍCULA ADESIVA, INCLUSIVE FIXAÇÃO</t>
  </si>
  <si>
    <t>SEINFRA</t>
  </si>
  <si>
    <t>ED-50644</t>
  </si>
  <si>
    <t>SICRO</t>
  </si>
  <si>
    <t>Placa de regulamentação em aço, R1 lado 0,248 m - película retrorrefletiva tipo I + SI - fornecimento e implantação</t>
  </si>
  <si>
    <t>MOBILIDADE URBANA</t>
  </si>
  <si>
    <t>MCIDADES</t>
  </si>
  <si>
    <t>POSTE GALVANIZADO ESCALONADO RETO ENGASTADOHT=4,5M / HL=3,8M /B=89MM /DT=60,3MM PADRAO CEMIG</t>
  </si>
  <si>
    <t>11.56.01</t>
  </si>
  <si>
    <t>2.5</t>
  </si>
  <si>
    <t>2.6</t>
  </si>
  <si>
    <t>2.7</t>
  </si>
  <si>
    <t>2.8</t>
  </si>
  <si>
    <t>2.9</t>
  </si>
  <si>
    <t>3.3</t>
  </si>
  <si>
    <t>TRANSPORTE COM CAMINHÃO TANQUE DE TRANSPORTE DE MATERIAL ASFÁLTICO DE  30000 L, EM VIA URBANA PAVIMENTADA, ADICIONAL PARA DMT EXCEDENTE A 30
 KM (UNIDADE: TXKM). AF_07/2020</t>
  </si>
  <si>
    <t>5.1</t>
  </si>
  <si>
    <t>5.2</t>
  </si>
  <si>
    <t>5.3</t>
  </si>
  <si>
    <t>5.4</t>
  </si>
  <si>
    <t>5.5</t>
  </si>
  <si>
    <t>5.6</t>
  </si>
  <si>
    <t>1090964-87</t>
  </si>
  <si>
    <t>DEMOLIÇÃO PARCIAL DE PAVIMENTO ASFÁLTICO, DE FORMA MECANIZADA, SEM REAPROVEITAMENTO. AF_09/2023</t>
  </si>
  <si>
    <t>4.3</t>
  </si>
  <si>
    <t>4.4</t>
  </si>
  <si>
    <t>DEMOLIÇÃO DE GUIAS, SARJETAS OU SARJETÕES, DE FORMA MECANIZADA, SEM REAPROVEITAMENTO</t>
  </si>
  <si>
    <t>5.7</t>
  </si>
  <si>
    <t>ASSENTAMENTO DE GUIA (MEIO-FIO) EM TRECHO RETO, CONFECCIONADA EM CONCRETO PRÉ-FABRICADO,
DIMENSÕES 80X08X08X25 CM (COMPRIMENTO X BASE INFERIOR X BASE SUPERIOR X ALTURA). AF_01/2024</t>
  </si>
  <si>
    <t>mês</t>
  </si>
  <si>
    <t>03/2025SINAPI COM DESONERADO SICRO 01/2025 E SEINFRA 01/2025</t>
  </si>
  <si>
    <t>1.3</t>
  </si>
  <si>
    <t>R0-00054</t>
  </si>
  <si>
    <t>ESCAVAÇAO ,CARGA E TRANSPORTE DE MATERIAL 1 CATEGORIA EXECUTADO COM ESCAVADEIRA DE 1,40 M3 E CAMINHAO BASCULANTE  DE 12 M3 E COM CAMINHAO DE SERVIÇO EM LEITO NATURAL DMT DE 1600 A 1800 M</t>
  </si>
  <si>
    <t>5.8</t>
  </si>
  <si>
    <t>5.9</t>
  </si>
  <si>
    <t xml:space="preserve">RAMPA DE ACESSIBILIDADE EM CONCRETO MOLDADO IN LOCO , EM CALÇADA NOVA  COM LARGURA MENOR A 3,00 M fck=25 mpa, COM PISO PODOTATIL </t>
  </si>
  <si>
    <t xml:space="preserve">RAMPA DE ACESSIBILIDADE EM CONCRETO MOLDADO IN LOCO , EM CALÇADA   EXISTENTE  COM LARGURA MENOR A 3,00 M fck=25 mpa, COM PISO PODOTATIL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</si>
</sst>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[$-416]mmmm\-yyyy;@"/>
    <numFmt numFmtId="167" formatCode="#,##0.00_ ;\-#,##0.00\ "/>
    <numFmt numFmtId="168" formatCode="General;General;"/>
    <numFmt numFmtId="169" formatCode="[$-F800]dddd\,\ mmmm\ dd\,\ yyyy"/>
    <numFmt numFmtId="170" formatCode="dd\ &quot;de&quot;\ mmmm\ &quot;de&quot;\ yyyy"/>
    <numFmt numFmtId="171" formatCode="&quot;R$ &quot;#,##0.00"/>
  </numFmts>
  <fonts count="3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9"/>
      <name val="Arial"/>
      <family val="2"/>
    </font>
    <font>
      <sz val="4"/>
      <name val="Arial"/>
      <family val="2"/>
    </font>
    <font>
      <sz val="9"/>
      <name val="Arial"/>
      <family val="2"/>
    </font>
    <font>
      <sz val="1"/>
      <name val="Arial"/>
      <family val="2"/>
    </font>
    <font>
      <sz val="9"/>
      <color rgb="FFFF0000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b/>
      <sz val="14"/>
      <name val="Arial"/>
      <family val="2"/>
    </font>
    <font>
      <b/>
      <sz val="10"/>
      <color indexed="12"/>
      <name val="Arial"/>
      <family val="2"/>
    </font>
    <font>
      <b/>
      <u/>
      <sz val="15"/>
      <name val="Arial"/>
      <family val="2"/>
    </font>
    <font>
      <sz val="11"/>
      <color indexed="9"/>
      <name val="Arial"/>
      <family val="2"/>
    </font>
    <font>
      <b/>
      <sz val="11"/>
      <color indexed="12"/>
      <name val="Arial"/>
      <family val="2"/>
    </font>
    <font>
      <b/>
      <sz val="18"/>
      <name val="Arial"/>
      <family val="2"/>
    </font>
    <font>
      <sz val="10.5"/>
      <name val="Arial"/>
      <family val="2"/>
    </font>
    <font>
      <i/>
      <sz val="12"/>
      <name val="Calibri"/>
      <family val="2"/>
    </font>
    <font>
      <i/>
      <u/>
      <sz val="12"/>
      <name val="Calibri"/>
      <family val="2"/>
    </font>
    <font>
      <u/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16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6"/>
      <color rgb="FFFF0000"/>
      <name val="Arial"/>
      <family val="2"/>
    </font>
    <font>
      <sz val="8"/>
      <name val="Arial"/>
    </font>
  </fonts>
  <fills count="11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9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3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164" fontId="1" fillId="0" borderId="0" applyFont="0" applyFill="0" applyBorder="0" applyAlignment="0" applyProtection="0"/>
  </cellStyleXfs>
  <cellXfs count="522">
    <xf numFmtId="0" fontId="0" fillId="0" borderId="0" xfId="0"/>
    <xf numFmtId="0" fontId="7" fillId="6" borderId="0" xfId="0" applyFont="1" applyFill="1" applyAlignment="1">
      <alignment horizontal="left" vertical="center"/>
    </xf>
    <xf numFmtId="0" fontId="7" fillId="6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6" borderId="0" xfId="0" applyFont="1" applyFill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10" fillId="6" borderId="0" xfId="0" applyFont="1" applyFill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7" fillId="6" borderId="0" xfId="0" applyFont="1" applyFill="1" applyAlignment="1">
      <alignment horizontal="centerContinuous" vertical="center"/>
    </xf>
    <xf numFmtId="0" fontId="7" fillId="6" borderId="11" xfId="0" applyFont="1" applyFill="1" applyBorder="1" applyAlignment="1">
      <alignment vertical="center"/>
    </xf>
    <xf numFmtId="0" fontId="10" fillId="6" borderId="0" xfId="0" applyFont="1" applyFill="1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6" borderId="22" xfId="0" applyFont="1" applyFill="1" applyBorder="1" applyAlignment="1">
      <alignment horizontal="left" vertical="center"/>
    </xf>
    <xf numFmtId="10" fontId="7" fillId="6" borderId="21" xfId="0" applyNumberFormat="1" applyFont="1" applyFill="1" applyBorder="1" applyAlignment="1">
      <alignment vertical="center"/>
    </xf>
    <xf numFmtId="0" fontId="7" fillId="6" borderId="22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vertical="center"/>
    </xf>
    <xf numFmtId="0" fontId="7" fillId="6" borderId="22" xfId="0" applyFont="1" applyFill="1" applyBorder="1" applyAlignment="1">
      <alignment vertical="center"/>
    </xf>
    <xf numFmtId="0" fontId="7" fillId="6" borderId="24" xfId="0" applyFont="1" applyFill="1" applyBorder="1" applyAlignment="1">
      <alignment horizontal="left" vertical="center"/>
    </xf>
    <xf numFmtId="10" fontId="7" fillId="6" borderId="23" xfId="0" applyNumberFormat="1" applyFont="1" applyFill="1" applyBorder="1" applyAlignment="1">
      <alignment vertical="center"/>
    </xf>
    <xf numFmtId="0" fontId="7" fillId="6" borderId="24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vertical="center"/>
    </xf>
    <xf numFmtId="0" fontId="7" fillId="6" borderId="24" xfId="0" applyFont="1" applyFill="1" applyBorder="1" applyAlignment="1">
      <alignment vertical="center"/>
    </xf>
    <xf numFmtId="0" fontId="7" fillId="6" borderId="26" xfId="0" applyFont="1" applyFill="1" applyBorder="1" applyAlignment="1">
      <alignment horizontal="left" vertical="center"/>
    </xf>
    <xf numFmtId="0" fontId="7" fillId="6" borderId="26" xfId="0" applyFont="1" applyFill="1" applyBorder="1" applyAlignment="1">
      <alignment horizontal="center" vertical="center"/>
    </xf>
    <xf numFmtId="0" fontId="7" fillId="6" borderId="25" xfId="0" applyFont="1" applyFill="1" applyBorder="1" applyAlignment="1">
      <alignment vertical="center"/>
    </xf>
    <xf numFmtId="0" fontId="7" fillId="6" borderId="26" xfId="0" applyFont="1" applyFill="1" applyBorder="1" applyAlignment="1">
      <alignment vertical="center"/>
    </xf>
    <xf numFmtId="0" fontId="8" fillId="3" borderId="17" xfId="0" applyFont="1" applyFill="1" applyBorder="1" applyAlignment="1">
      <alignment vertical="center"/>
    </xf>
    <xf numFmtId="0" fontId="8" fillId="3" borderId="27" xfId="0" applyFont="1" applyFill="1" applyBorder="1" applyAlignment="1">
      <alignment vertical="center"/>
    </xf>
    <xf numFmtId="0" fontId="8" fillId="3" borderId="18" xfId="0" applyFont="1" applyFill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5" fillId="3" borderId="11" xfId="0" applyFont="1" applyFill="1" applyBorder="1" applyAlignment="1">
      <alignment vertical="center"/>
    </xf>
    <xf numFmtId="0" fontId="8" fillId="3" borderId="16" xfId="0" applyFont="1" applyFill="1" applyBorder="1" applyAlignment="1">
      <alignment vertical="center"/>
    </xf>
    <xf numFmtId="10" fontId="7" fillId="0" borderId="9" xfId="3" applyNumberFormat="1" applyFont="1" applyBorder="1" applyAlignment="1" applyProtection="1">
      <alignment vertical="center"/>
    </xf>
    <xf numFmtId="0" fontId="8" fillId="3" borderId="19" xfId="0" applyFont="1" applyFill="1" applyBorder="1" applyAlignment="1">
      <alignment vertical="center"/>
    </xf>
    <xf numFmtId="0" fontId="8" fillId="3" borderId="28" xfId="0" applyFont="1" applyFill="1" applyBorder="1" applyAlignment="1">
      <alignment vertical="center"/>
    </xf>
    <xf numFmtId="0" fontId="8" fillId="3" borderId="20" xfId="0" applyFont="1" applyFill="1" applyBorder="1" applyAlignment="1">
      <alignment vertical="center"/>
    </xf>
    <xf numFmtId="4" fontId="7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 vertical="center"/>
    </xf>
    <xf numFmtId="43" fontId="7" fillId="0" borderId="0" xfId="0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0" fontId="7" fillId="6" borderId="26" xfId="0" applyFont="1" applyFill="1" applyBorder="1" applyAlignment="1">
      <alignment horizontal="right" vertical="center"/>
    </xf>
    <xf numFmtId="9" fontId="7" fillId="6" borderId="26" xfId="0" applyNumberFormat="1" applyFont="1" applyFill="1" applyBorder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1" fillId="0" borderId="0" xfId="8"/>
    <xf numFmtId="0" fontId="2" fillId="0" borderId="0" xfId="8" applyFont="1" applyAlignment="1">
      <alignment horizontal="center"/>
    </xf>
    <xf numFmtId="0" fontId="3" fillId="0" borderId="0" xfId="8" applyFont="1" applyAlignment="1">
      <alignment horizontal="center"/>
    </xf>
    <xf numFmtId="0" fontId="2" fillId="0" borderId="9" xfId="8" applyFont="1" applyBorder="1" applyAlignment="1">
      <alignment horizontal="center"/>
    </xf>
    <xf numFmtId="10" fontId="18" fillId="0" borderId="9" xfId="8" applyNumberFormat="1" applyFont="1" applyBorder="1" applyAlignment="1">
      <alignment horizontal="center"/>
    </xf>
    <xf numFmtId="0" fontId="19" fillId="0" borderId="0" xfId="8" applyFont="1"/>
    <xf numFmtId="0" fontId="2" fillId="0" borderId="0" xfId="8" applyFont="1"/>
    <xf numFmtId="0" fontId="2" fillId="0" borderId="9" xfId="8" applyFont="1" applyBorder="1" applyAlignment="1">
      <alignment horizontal="center" vertical="center" wrapText="1"/>
    </xf>
    <xf numFmtId="0" fontId="15" fillId="0" borderId="9" xfId="8" applyFont="1" applyBorder="1" applyAlignment="1">
      <alignment horizontal="center" vertical="center"/>
    </xf>
    <xf numFmtId="10" fontId="15" fillId="9" borderId="9" xfId="8" applyNumberFormat="1" applyFont="1" applyFill="1" applyBorder="1" applyAlignment="1" applyProtection="1">
      <alignment horizontal="center" vertical="center"/>
      <protection locked="0"/>
    </xf>
    <xf numFmtId="4" fontId="6" fillId="0" borderId="9" xfId="8" applyNumberFormat="1" applyFont="1" applyBorder="1" applyAlignment="1">
      <alignment horizontal="center" vertical="center"/>
    </xf>
    <xf numFmtId="10" fontId="15" fillId="0" borderId="9" xfId="8" applyNumberFormat="1" applyFont="1" applyBorder="1" applyAlignment="1">
      <alignment horizontal="center" vertical="center"/>
    </xf>
    <xf numFmtId="10" fontId="15" fillId="0" borderId="9" xfId="8" applyNumberFormat="1" applyFont="1" applyBorder="1" applyAlignment="1">
      <alignment horizontal="center" vertical="center" wrapText="1"/>
    </xf>
    <xf numFmtId="0" fontId="15" fillId="0" borderId="9" xfId="8" applyFont="1" applyBorder="1" applyAlignment="1">
      <alignment horizontal="center" vertical="center" wrapText="1"/>
    </xf>
    <xf numFmtId="4" fontId="6" fillId="0" borderId="9" xfId="8" applyNumberFormat="1" applyFont="1" applyBorder="1" applyAlignment="1">
      <alignment horizontal="center" vertical="center" wrapText="1"/>
    </xf>
    <xf numFmtId="0" fontId="20" fillId="0" borderId="0" xfId="8" applyFont="1" applyAlignment="1">
      <alignment horizontal="center" vertical="center" wrapText="1"/>
    </xf>
    <xf numFmtId="10" fontId="20" fillId="0" borderId="0" xfId="8" applyNumberFormat="1" applyFont="1" applyAlignment="1">
      <alignment horizontal="center" vertical="center"/>
    </xf>
    <xf numFmtId="4" fontId="6" fillId="0" borderId="0" xfId="8" applyNumberFormat="1" applyFont="1" applyAlignment="1">
      <alignment horizontal="center" vertical="center" wrapText="1"/>
    </xf>
    <xf numFmtId="0" fontId="22" fillId="0" borderId="9" xfId="8" applyFont="1" applyBorder="1" applyAlignment="1">
      <alignment horizontal="center" vertical="center"/>
    </xf>
    <xf numFmtId="0" fontId="1" fillId="0" borderId="0" xfId="8" applyAlignment="1">
      <alignment horizontal="center" vertical="top"/>
    </xf>
    <xf numFmtId="0" fontId="26" fillId="0" borderId="0" xfId="8" applyFont="1" applyAlignment="1">
      <alignment horizontal="center" vertical="top"/>
    </xf>
    <xf numFmtId="170" fontId="1" fillId="0" borderId="0" xfId="8" applyNumberFormat="1"/>
    <xf numFmtId="0" fontId="2" fillId="0" borderId="18" xfId="8" applyFont="1" applyBorder="1" applyAlignment="1">
      <alignment horizontal="left"/>
    </xf>
    <xf numFmtId="0" fontId="1" fillId="0" borderId="18" xfId="8" applyBorder="1"/>
    <xf numFmtId="0" fontId="15" fillId="0" borderId="0" xfId="8" applyFont="1"/>
    <xf numFmtId="0" fontId="2" fillId="0" borderId="0" xfId="11" applyFont="1" applyAlignment="1">
      <alignment horizontal="left" vertical="top"/>
    </xf>
    <xf numFmtId="0" fontId="7" fillId="6" borderId="18" xfId="0" applyFont="1" applyFill="1" applyBorder="1" applyAlignment="1">
      <alignment horizontal="left" vertical="center"/>
    </xf>
    <xf numFmtId="0" fontId="7" fillId="6" borderId="18" xfId="0" applyFont="1" applyFill="1" applyBorder="1" applyAlignment="1">
      <alignment vertical="center"/>
    </xf>
    <xf numFmtId="0" fontId="7" fillId="6" borderId="20" xfId="0" applyFont="1" applyFill="1" applyBorder="1" applyAlignment="1">
      <alignment horizontal="left" vertical="center"/>
    </xf>
    <xf numFmtId="0" fontId="7" fillId="6" borderId="20" xfId="0" applyFont="1" applyFill="1" applyBorder="1" applyAlignment="1">
      <alignment vertical="center"/>
    </xf>
    <xf numFmtId="0" fontId="17" fillId="6" borderId="20" xfId="0" applyFont="1" applyFill="1" applyBorder="1" applyAlignment="1">
      <alignment horizontal="left" vertical="center"/>
    </xf>
    <xf numFmtId="0" fontId="0" fillId="6" borderId="0" xfId="0" applyFill="1" applyAlignment="1">
      <alignment vertical="center"/>
    </xf>
    <xf numFmtId="0" fontId="0" fillId="6" borderId="18" xfId="0" applyFill="1" applyBorder="1" applyAlignment="1">
      <alignment vertical="center"/>
    </xf>
    <xf numFmtId="0" fontId="7" fillId="6" borderId="7" xfId="0" applyFont="1" applyFill="1" applyBorder="1" applyAlignment="1">
      <alignment horizontal="left" vertical="center"/>
    </xf>
    <xf numFmtId="0" fontId="7" fillId="6" borderId="8" xfId="0" applyFont="1" applyFill="1" applyBorder="1" applyAlignment="1">
      <alignment horizontal="left" vertical="center"/>
    </xf>
    <xf numFmtId="0" fontId="7" fillId="6" borderId="8" xfId="0" applyFont="1" applyFill="1" applyBorder="1" applyAlignment="1">
      <alignment vertical="center"/>
    </xf>
    <xf numFmtId="0" fontId="7" fillId="6" borderId="13" xfId="0" applyFont="1" applyFill="1" applyBorder="1" applyAlignment="1">
      <alignment vertical="center"/>
    </xf>
    <xf numFmtId="0" fontId="7" fillId="6" borderId="1" xfId="0" applyFont="1" applyFill="1" applyBorder="1" applyAlignment="1">
      <alignment vertical="center"/>
    </xf>
    <xf numFmtId="0" fontId="8" fillId="6" borderId="0" xfId="0" applyFont="1" applyFill="1" applyAlignment="1">
      <alignment vertical="center"/>
    </xf>
    <xf numFmtId="0" fontId="7" fillId="6" borderId="5" xfId="0" applyFont="1" applyFill="1" applyBorder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0" fontId="7" fillId="6" borderId="1" xfId="0" applyFont="1" applyFill="1" applyBorder="1" applyAlignment="1">
      <alignment horizontal="left" vertical="center"/>
    </xf>
    <xf numFmtId="0" fontId="10" fillId="6" borderId="1" xfId="0" applyFont="1" applyFill="1" applyBorder="1" applyAlignment="1">
      <alignment horizontal="left" vertical="center"/>
    </xf>
    <xf numFmtId="0" fontId="10" fillId="6" borderId="5" xfId="0" applyFont="1" applyFill="1" applyBorder="1" applyAlignment="1">
      <alignment vertical="center"/>
    </xf>
    <xf numFmtId="0" fontId="0" fillId="6" borderId="5" xfId="0" applyFill="1" applyBorder="1" applyAlignment="1">
      <alignment vertical="center"/>
    </xf>
    <xf numFmtId="0" fontId="7" fillId="6" borderId="52" xfId="0" applyFont="1" applyFill="1" applyBorder="1" applyAlignment="1">
      <alignment horizontal="left" vertical="center"/>
    </xf>
    <xf numFmtId="0" fontId="7" fillId="6" borderId="61" xfId="0" applyFont="1" applyFill="1" applyBorder="1" applyAlignment="1">
      <alignment vertical="center"/>
    </xf>
    <xf numFmtId="0" fontId="7" fillId="6" borderId="44" xfId="0" applyFont="1" applyFill="1" applyBorder="1" applyAlignment="1">
      <alignment horizontal="left" vertical="center"/>
    </xf>
    <xf numFmtId="0" fontId="7" fillId="6" borderId="60" xfId="0" applyFont="1" applyFill="1" applyBorder="1" applyAlignment="1">
      <alignment vertical="center"/>
    </xf>
    <xf numFmtId="0" fontId="7" fillId="6" borderId="62" xfId="0" applyFont="1" applyFill="1" applyBorder="1" applyAlignment="1">
      <alignment horizontal="left" vertical="center"/>
    </xf>
    <xf numFmtId="0" fontId="7" fillId="6" borderId="63" xfId="0" applyFont="1" applyFill="1" applyBorder="1" applyAlignment="1">
      <alignment horizontal="left" vertical="center"/>
    </xf>
    <xf numFmtId="0" fontId="7" fillId="6" borderId="64" xfId="0" applyFont="1" applyFill="1" applyBorder="1" applyAlignment="1">
      <alignment horizontal="left" vertical="center"/>
    </xf>
    <xf numFmtId="0" fontId="11" fillId="8" borderId="33" xfId="0" applyFont="1" applyFill="1" applyBorder="1" applyAlignment="1" applyProtection="1">
      <alignment horizontal="center" vertical="center"/>
      <protection locked="0"/>
    </xf>
    <xf numFmtId="0" fontId="7" fillId="8" borderId="33" xfId="0" applyFont="1" applyFill="1" applyBorder="1" applyAlignment="1" applyProtection="1">
      <alignment horizontal="center" vertical="center"/>
      <protection locked="0"/>
    </xf>
    <xf numFmtId="0" fontId="11" fillId="8" borderId="63" xfId="0" applyFont="1" applyFill="1" applyBorder="1" applyAlignment="1" applyProtection="1">
      <alignment vertical="center"/>
      <protection locked="0"/>
    </xf>
    <xf numFmtId="0" fontId="0" fillId="6" borderId="52" xfId="0" applyFill="1" applyBorder="1" applyAlignment="1">
      <alignment vertical="center"/>
    </xf>
    <xf numFmtId="0" fontId="0" fillId="6" borderId="61" xfId="0" applyFill="1" applyBorder="1" applyAlignment="1">
      <alignment vertical="center"/>
    </xf>
    <xf numFmtId="0" fontId="0" fillId="6" borderId="1" xfId="0" applyFill="1" applyBorder="1" applyAlignment="1">
      <alignment vertical="center"/>
    </xf>
    <xf numFmtId="0" fontId="8" fillId="7" borderId="33" xfId="0" applyFont="1" applyFill="1" applyBorder="1" applyAlignment="1" applyProtection="1">
      <alignment horizontal="center" vertical="center"/>
      <protection locked="0"/>
    </xf>
    <xf numFmtId="0" fontId="8" fillId="7" borderId="41" xfId="0" applyFont="1" applyFill="1" applyBorder="1" applyAlignment="1" applyProtection="1">
      <alignment horizontal="center" vertical="center"/>
      <protection locked="0"/>
    </xf>
    <xf numFmtId="0" fontId="29" fillId="3" borderId="52" xfId="0" applyFont="1" applyFill="1" applyBorder="1" applyAlignment="1">
      <alignment vertical="center"/>
    </xf>
    <xf numFmtId="0" fontId="29" fillId="3" borderId="18" xfId="0" applyFont="1" applyFill="1" applyBorder="1" applyAlignment="1">
      <alignment vertical="center"/>
    </xf>
    <xf numFmtId="0" fontId="14" fillId="3" borderId="27" xfId="0" applyFont="1" applyFill="1" applyBorder="1" applyAlignment="1">
      <alignment horizontal="right" vertical="center"/>
    </xf>
    <xf numFmtId="0" fontId="0" fillId="10" borderId="0" xfId="0" applyFill="1"/>
    <xf numFmtId="0" fontId="30" fillId="0" borderId="16" xfId="0" applyFont="1" applyBorder="1" applyAlignment="1">
      <alignment vertical="center"/>
    </xf>
    <xf numFmtId="0" fontId="0" fillId="10" borderId="11" xfId="0" applyFill="1" applyBorder="1"/>
    <xf numFmtId="0" fontId="0" fillId="10" borderId="16" xfId="0" applyFill="1" applyBorder="1"/>
    <xf numFmtId="0" fontId="8" fillId="10" borderId="1" xfId="0" applyFont="1" applyFill="1" applyBorder="1"/>
    <xf numFmtId="0" fontId="8" fillId="10" borderId="0" xfId="0" applyFont="1" applyFill="1" applyAlignment="1">
      <alignment wrapText="1"/>
    </xf>
    <xf numFmtId="0" fontId="2" fillId="10" borderId="0" xfId="0" applyFont="1" applyFill="1" applyAlignment="1">
      <alignment horizontal="right"/>
    </xf>
    <xf numFmtId="0" fontId="7" fillId="10" borderId="1" xfId="0" applyFont="1" applyFill="1" applyBorder="1"/>
    <xf numFmtId="0" fontId="7" fillId="10" borderId="0" xfId="0" applyFont="1" applyFill="1" applyAlignment="1">
      <alignment wrapText="1"/>
    </xf>
    <xf numFmtId="0" fontId="30" fillId="0" borderId="18" xfId="0" applyFont="1" applyBorder="1" applyAlignment="1">
      <alignment horizontal="center" vertical="center"/>
    </xf>
    <xf numFmtId="4" fontId="13" fillId="0" borderId="0" xfId="5" applyNumberFormat="1" applyFont="1" applyFill="1" applyBorder="1" applyAlignment="1" applyProtection="1">
      <alignment horizontal="right" vertical="center"/>
      <protection locked="0"/>
    </xf>
    <xf numFmtId="0" fontId="3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0" fillId="0" borderId="0" xfId="0" applyFont="1" applyAlignment="1">
      <alignment vertical="center"/>
    </xf>
    <xf numFmtId="0" fontId="30" fillId="0" borderId="7" xfId="0" applyFont="1" applyBorder="1"/>
    <xf numFmtId="0" fontId="30" fillId="10" borderId="8" xfId="0" applyFont="1" applyFill="1" applyBorder="1"/>
    <xf numFmtId="0" fontId="30" fillId="10" borderId="8" xfId="0" applyFont="1" applyFill="1" applyBorder="1" applyAlignment="1">
      <alignment wrapText="1"/>
    </xf>
    <xf numFmtId="0" fontId="30" fillId="10" borderId="13" xfId="0" applyFont="1" applyFill="1" applyBorder="1"/>
    <xf numFmtId="0" fontId="30" fillId="10" borderId="1" xfId="0" applyFont="1" applyFill="1" applyBorder="1"/>
    <xf numFmtId="0" fontId="30" fillId="10" borderId="0" xfId="0" applyFont="1" applyFill="1"/>
    <xf numFmtId="0" fontId="30" fillId="10" borderId="0" xfId="0" applyFont="1" applyFill="1" applyAlignment="1">
      <alignment wrapText="1"/>
    </xf>
    <xf numFmtId="0" fontId="5" fillId="10" borderId="48" xfId="0" applyFont="1" applyFill="1" applyBorder="1" applyAlignment="1">
      <alignment horizontal="center" vertical="center"/>
    </xf>
    <xf numFmtId="0" fontId="5" fillId="10" borderId="49" xfId="0" applyFont="1" applyFill="1" applyBorder="1" applyAlignment="1">
      <alignment horizontal="center" vertical="center"/>
    </xf>
    <xf numFmtId="0" fontId="5" fillId="10" borderId="49" xfId="0" applyFont="1" applyFill="1" applyBorder="1" applyAlignment="1">
      <alignment horizontal="center" vertical="center" wrapText="1"/>
    </xf>
    <xf numFmtId="0" fontId="5" fillId="10" borderId="53" xfId="0" applyFont="1" applyFill="1" applyBorder="1" applyAlignment="1">
      <alignment horizontal="center" vertical="center"/>
    </xf>
    <xf numFmtId="49" fontId="31" fillId="10" borderId="75" xfId="0" applyNumberFormat="1" applyFont="1" applyFill="1" applyBorder="1" applyAlignment="1">
      <alignment horizontal="center" vertical="top" wrapText="1"/>
    </xf>
    <xf numFmtId="10" fontId="31" fillId="10" borderId="75" xfId="0" applyNumberFormat="1" applyFont="1" applyFill="1" applyBorder="1" applyAlignment="1">
      <alignment vertical="top" wrapText="1"/>
    </xf>
    <xf numFmtId="10" fontId="31" fillId="10" borderId="81" xfId="0" applyNumberFormat="1" applyFont="1" applyFill="1" applyBorder="1" applyAlignment="1">
      <alignment vertical="top" wrapText="1"/>
    </xf>
    <xf numFmtId="49" fontId="31" fillId="10" borderId="15" xfId="0" applyNumberFormat="1" applyFont="1" applyFill="1" applyBorder="1" applyAlignment="1">
      <alignment horizontal="center" vertical="top" wrapText="1"/>
    </xf>
    <xf numFmtId="4" fontId="31" fillId="10" borderId="15" xfId="0" applyNumberFormat="1" applyFont="1" applyFill="1" applyBorder="1" applyAlignment="1">
      <alignment vertical="top" wrapText="1"/>
    </xf>
    <xf numFmtId="4" fontId="31" fillId="10" borderId="68" xfId="0" applyNumberFormat="1" applyFont="1" applyFill="1" applyBorder="1" applyAlignment="1">
      <alignment vertical="top" wrapText="1"/>
    </xf>
    <xf numFmtId="49" fontId="31" fillId="10" borderId="78" xfId="0" applyNumberFormat="1" applyFont="1" applyFill="1" applyBorder="1" applyAlignment="1">
      <alignment horizontal="center" vertical="top" wrapText="1"/>
    </xf>
    <xf numFmtId="49" fontId="32" fillId="10" borderId="29" xfId="0" applyNumberFormat="1" applyFont="1" applyFill="1" applyBorder="1" applyAlignment="1">
      <alignment horizontal="center" vertical="top" wrapText="1"/>
    </xf>
    <xf numFmtId="10" fontId="32" fillId="10" borderId="29" xfId="0" applyNumberFormat="1" applyFont="1" applyFill="1" applyBorder="1" applyAlignment="1">
      <alignment vertical="top" wrapText="1"/>
    </xf>
    <xf numFmtId="10" fontId="32" fillId="10" borderId="67" xfId="0" applyNumberFormat="1" applyFont="1" applyFill="1" applyBorder="1" applyAlignment="1">
      <alignment vertical="top" wrapText="1"/>
    </xf>
    <xf numFmtId="49" fontId="32" fillId="10" borderId="79" xfId="0" applyNumberFormat="1" applyFont="1" applyFill="1" applyBorder="1" applyAlignment="1">
      <alignment horizontal="center" vertical="top" wrapText="1"/>
    </xf>
    <xf numFmtId="171" fontId="32" fillId="10" borderId="79" xfId="0" applyNumberFormat="1" applyFont="1" applyFill="1" applyBorder="1" applyAlignment="1">
      <alignment vertical="top" wrapText="1"/>
    </xf>
    <xf numFmtId="171" fontId="32" fillId="10" borderId="82" xfId="0" applyNumberFormat="1" applyFont="1" applyFill="1" applyBorder="1" applyAlignment="1">
      <alignment vertical="top" wrapText="1"/>
    </xf>
    <xf numFmtId="0" fontId="30" fillId="10" borderId="1" xfId="0" applyFont="1" applyFill="1" applyBorder="1" applyAlignment="1">
      <alignment vertical="center"/>
    </xf>
    <xf numFmtId="0" fontId="30" fillId="10" borderId="0" xfId="0" applyFont="1" applyFill="1" applyAlignment="1">
      <alignment vertical="center"/>
    </xf>
    <xf numFmtId="0" fontId="30" fillId="10" borderId="0" xfId="0" applyFont="1" applyFill="1" applyAlignment="1">
      <alignment vertical="center" wrapText="1"/>
    </xf>
    <xf numFmtId="0" fontId="5" fillId="10" borderId="7" xfId="0" applyFont="1" applyFill="1" applyBorder="1" applyAlignment="1">
      <alignment wrapText="1"/>
    </xf>
    <xf numFmtId="0" fontId="5" fillId="10" borderId="8" xfId="0" applyFont="1" applyFill="1" applyBorder="1" applyAlignment="1">
      <alignment wrapText="1"/>
    </xf>
    <xf numFmtId="0" fontId="5" fillId="10" borderId="80" xfId="0" applyFont="1" applyFill="1" applyBorder="1" applyAlignment="1">
      <alignment wrapText="1"/>
    </xf>
    <xf numFmtId="0" fontId="5" fillId="10" borderId="1" xfId="0" applyFont="1" applyFill="1" applyBorder="1" applyAlignment="1">
      <alignment wrapText="1"/>
    </xf>
    <xf numFmtId="0" fontId="30" fillId="0" borderId="20" xfId="0" applyFont="1" applyBorder="1" applyAlignment="1">
      <alignment vertical="center"/>
    </xf>
    <xf numFmtId="0" fontId="5" fillId="10" borderId="0" xfId="0" applyFont="1" applyFill="1" applyAlignment="1">
      <alignment wrapText="1"/>
    </xf>
    <xf numFmtId="0" fontId="5" fillId="10" borderId="1" xfId="0" applyFont="1" applyFill="1" applyBorder="1"/>
    <xf numFmtId="0" fontId="30" fillId="10" borderId="32" xfId="0" applyFont="1" applyFill="1" applyBorder="1"/>
    <xf numFmtId="0" fontId="30" fillId="10" borderId="6" xfId="0" applyFont="1" applyFill="1" applyBorder="1"/>
    <xf numFmtId="0" fontId="30" fillId="10" borderId="6" xfId="0" applyFont="1" applyFill="1" applyBorder="1" applyAlignment="1">
      <alignment wrapText="1"/>
    </xf>
    <xf numFmtId="0" fontId="30" fillId="10" borderId="51" xfId="0" applyFont="1" applyFill="1" applyBorder="1"/>
    <xf numFmtId="4" fontId="7" fillId="0" borderId="0" xfId="5" applyNumberFormat="1" applyFont="1" applyFill="1" applyBorder="1" applyAlignment="1" applyProtection="1">
      <alignment horizontal="right" vertical="center"/>
      <protection locked="0"/>
    </xf>
    <xf numFmtId="49" fontId="27" fillId="8" borderId="23" xfId="0" applyNumberFormat="1" applyFont="1" applyFill="1" applyBorder="1" applyAlignment="1" applyProtection="1">
      <alignment horizontal="center" vertical="center"/>
      <protection locked="0"/>
    </xf>
    <xf numFmtId="49" fontId="27" fillId="8" borderId="30" xfId="0" applyNumberFormat="1" applyFont="1" applyFill="1" applyBorder="1" applyAlignment="1" applyProtection="1">
      <alignment horizontal="center" vertical="center"/>
      <protection locked="0"/>
    </xf>
    <xf numFmtId="0" fontId="29" fillId="8" borderId="23" xfId="0" applyFont="1" applyFill="1" applyBorder="1" applyAlignment="1" applyProtection="1">
      <alignment horizontal="center" vertical="center"/>
      <protection locked="0"/>
    </xf>
    <xf numFmtId="0" fontId="29" fillId="8" borderId="30" xfId="0" applyFont="1" applyFill="1" applyBorder="1" applyAlignment="1" applyProtection="1">
      <alignment horizontal="center" vertical="center"/>
      <protection locked="0"/>
    </xf>
    <xf numFmtId="4" fontId="29" fillId="8" borderId="23" xfId="0" applyNumberFormat="1" applyFont="1" applyFill="1" applyBorder="1" applyAlignment="1" applyProtection="1">
      <alignment horizontal="right" vertical="center"/>
      <protection locked="0"/>
    </xf>
    <xf numFmtId="4" fontId="29" fillId="8" borderId="24" xfId="0" applyNumberFormat="1" applyFont="1" applyFill="1" applyBorder="1" applyAlignment="1" applyProtection="1">
      <alignment horizontal="right" vertical="center"/>
      <protection locked="0"/>
    </xf>
    <xf numFmtId="4" fontId="29" fillId="8" borderId="30" xfId="0" applyNumberFormat="1" applyFont="1" applyFill="1" applyBorder="1" applyAlignment="1" applyProtection="1">
      <alignment horizontal="right" vertical="center"/>
      <protection locked="0"/>
    </xf>
    <xf numFmtId="0" fontId="1" fillId="6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6" borderId="16" xfId="0" applyFill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51" xfId="0" applyBorder="1" applyAlignment="1">
      <alignment vertical="center"/>
    </xf>
    <xf numFmtId="0" fontId="0" fillId="0" borderId="0" xfId="0" applyAlignment="1">
      <alignment vertical="center" wrapText="1"/>
    </xf>
    <xf numFmtId="0" fontId="14" fillId="7" borderId="33" xfId="0" applyFont="1" applyFill="1" applyBorder="1" applyAlignment="1" applyProtection="1">
      <alignment horizontal="center" vertical="center"/>
      <protection locked="0"/>
    </xf>
    <xf numFmtId="0" fontId="5" fillId="10" borderId="83" xfId="0" applyFont="1" applyFill="1" applyBorder="1" applyAlignment="1">
      <alignment horizontal="center" vertical="center"/>
    </xf>
    <xf numFmtId="0" fontId="0" fillId="0" borderId="59" xfId="0" applyBorder="1"/>
    <xf numFmtId="10" fontId="31" fillId="10" borderId="84" xfId="0" applyNumberFormat="1" applyFont="1" applyFill="1" applyBorder="1" applyAlignment="1">
      <alignment vertical="top" wrapText="1"/>
    </xf>
    <xf numFmtId="4" fontId="31" fillId="10" borderId="23" xfId="0" applyNumberFormat="1" applyFont="1" applyFill="1" applyBorder="1" applyAlignment="1">
      <alignment vertical="top" wrapText="1"/>
    </xf>
    <xf numFmtId="10" fontId="32" fillId="10" borderId="21" xfId="0" applyNumberFormat="1" applyFont="1" applyFill="1" applyBorder="1" applyAlignment="1">
      <alignment vertical="top" wrapText="1"/>
    </xf>
    <xf numFmtId="171" fontId="32" fillId="10" borderId="85" xfId="0" applyNumberFormat="1" applyFont="1" applyFill="1" applyBorder="1" applyAlignment="1">
      <alignment vertical="top" wrapText="1"/>
    </xf>
    <xf numFmtId="0" fontId="30" fillId="10" borderId="86" xfId="0" applyFont="1" applyFill="1" applyBorder="1"/>
    <xf numFmtId="0" fontId="5" fillId="10" borderId="11" xfId="0" applyFont="1" applyFill="1" applyBorder="1"/>
    <xf numFmtId="0" fontId="30" fillId="10" borderId="11" xfId="0" applyFont="1" applyFill="1" applyBorder="1"/>
    <xf numFmtId="0" fontId="30" fillId="10" borderId="50" xfId="0" applyFont="1" applyFill="1" applyBorder="1"/>
    <xf numFmtId="0" fontId="0" fillId="0" borderId="88" xfId="0" applyBorder="1"/>
    <xf numFmtId="0" fontId="0" fillId="0" borderId="89" xfId="0" applyBorder="1"/>
    <xf numFmtId="0" fontId="0" fillId="0" borderId="90" xfId="0" applyBorder="1"/>
    <xf numFmtId="0" fontId="0" fillId="0" borderId="91" xfId="0" applyBorder="1"/>
    <xf numFmtId="0" fontId="0" fillId="0" borderId="92" xfId="0" applyBorder="1"/>
    <xf numFmtId="0" fontId="0" fillId="0" borderId="93" xfId="0" applyBorder="1"/>
    <xf numFmtId="0" fontId="5" fillId="10" borderId="93" xfId="0" applyFont="1" applyFill="1" applyBorder="1" applyAlignment="1">
      <alignment horizontal="center" vertical="center"/>
    </xf>
    <xf numFmtId="10" fontId="32" fillId="10" borderId="94" xfId="0" applyNumberFormat="1" applyFont="1" applyFill="1" applyBorder="1" applyAlignment="1">
      <alignment vertical="top" wrapText="1"/>
    </xf>
    <xf numFmtId="171" fontId="32" fillId="10" borderId="97" xfId="0" applyNumberFormat="1" applyFont="1" applyFill="1" applyBorder="1" applyAlignment="1">
      <alignment vertical="top" wrapText="1"/>
    </xf>
    <xf numFmtId="4" fontId="32" fillId="10" borderId="95" xfId="0" applyNumberFormat="1" applyFont="1" applyFill="1" applyBorder="1" applyAlignment="1">
      <alignment vertical="top" wrapText="1"/>
    </xf>
    <xf numFmtId="10" fontId="32" fillId="10" borderId="96" xfId="0" applyNumberFormat="1" applyFont="1" applyFill="1" applyBorder="1" applyAlignment="1">
      <alignment vertical="top" wrapText="1"/>
    </xf>
    <xf numFmtId="0" fontId="5" fillId="10" borderId="87" xfId="0" applyFont="1" applyFill="1" applyBorder="1" applyAlignment="1">
      <alignment vertical="center"/>
    </xf>
    <xf numFmtId="0" fontId="27" fillId="6" borderId="23" xfId="0" applyFont="1" applyFill="1" applyBorder="1" applyAlignment="1" applyProtection="1">
      <alignment horizontal="center" vertical="center"/>
      <protection locked="0"/>
    </xf>
    <xf numFmtId="0" fontId="27" fillId="6" borderId="30" xfId="0" applyFont="1" applyFill="1" applyBorder="1" applyAlignment="1" applyProtection="1">
      <alignment horizontal="center" vertical="center"/>
      <protection locked="0"/>
    </xf>
    <xf numFmtId="49" fontId="27" fillId="8" borderId="23" xfId="0" applyNumberFormat="1" applyFont="1" applyFill="1" applyBorder="1" applyAlignment="1" applyProtection="1">
      <alignment horizontal="center" vertical="center"/>
      <protection locked="0"/>
    </xf>
    <xf numFmtId="49" fontId="27" fillId="8" borderId="30" xfId="0" applyNumberFormat="1" applyFont="1" applyFill="1" applyBorder="1" applyAlignment="1" applyProtection="1">
      <alignment horizontal="center" vertical="center"/>
      <protection locked="0"/>
    </xf>
    <xf numFmtId="0" fontId="1" fillId="8" borderId="23" xfId="0" applyFont="1" applyFill="1" applyBorder="1" applyAlignment="1" applyProtection="1">
      <alignment horizontal="left" vertical="center" wrapText="1"/>
      <protection locked="0"/>
    </xf>
    <xf numFmtId="0" fontId="1" fillId="8" borderId="24" xfId="0" applyFont="1" applyFill="1" applyBorder="1" applyAlignment="1" applyProtection="1">
      <alignment horizontal="left" vertical="center" wrapText="1"/>
      <protection locked="0"/>
    </xf>
    <xf numFmtId="0" fontId="1" fillId="8" borderId="30" xfId="0" applyFont="1" applyFill="1" applyBorder="1" applyAlignment="1" applyProtection="1">
      <alignment horizontal="left" vertical="center" wrapText="1"/>
      <protection locked="0"/>
    </xf>
    <xf numFmtId="0" fontId="29" fillId="8" borderId="23" xfId="0" applyFont="1" applyFill="1" applyBorder="1" applyAlignment="1" applyProtection="1">
      <alignment horizontal="center" vertical="center"/>
      <protection locked="0"/>
    </xf>
    <xf numFmtId="0" fontId="29" fillId="8" borderId="30" xfId="0" applyFont="1" applyFill="1" applyBorder="1" applyAlignment="1" applyProtection="1">
      <alignment horizontal="center" vertical="center"/>
      <protection locked="0"/>
    </xf>
    <xf numFmtId="4" fontId="29" fillId="8" borderId="23" xfId="0" applyNumberFormat="1" applyFont="1" applyFill="1" applyBorder="1" applyAlignment="1" applyProtection="1">
      <alignment horizontal="right" vertical="center"/>
      <protection locked="0"/>
    </xf>
    <xf numFmtId="4" fontId="29" fillId="8" borderId="24" xfId="0" applyNumberFormat="1" applyFont="1" applyFill="1" applyBorder="1" applyAlignment="1" applyProtection="1">
      <alignment horizontal="right" vertical="center"/>
      <protection locked="0"/>
    </xf>
    <xf numFmtId="4" fontId="29" fillId="8" borderId="30" xfId="0" applyNumberFormat="1" applyFont="1" applyFill="1" applyBorder="1" applyAlignment="1" applyProtection="1">
      <alignment horizontal="right" vertical="center"/>
      <protection locked="0"/>
    </xf>
    <xf numFmtId="4" fontId="33" fillId="6" borderId="23" xfId="5" applyNumberFormat="1" applyFont="1" applyFill="1" applyBorder="1" applyAlignment="1" applyProtection="1">
      <alignment horizontal="right" vertical="center"/>
      <protection locked="0"/>
    </xf>
    <xf numFmtId="4" fontId="33" fillId="6" borderId="24" xfId="5" applyNumberFormat="1" applyFont="1" applyFill="1" applyBorder="1" applyAlignment="1" applyProtection="1">
      <alignment horizontal="right" vertical="center"/>
      <protection locked="0"/>
    </xf>
    <xf numFmtId="4" fontId="29" fillId="0" borderId="34" xfId="5" applyNumberFormat="1" applyFont="1" applyFill="1" applyBorder="1" applyAlignment="1" applyProtection="1">
      <alignment horizontal="right" vertical="center"/>
    </xf>
    <xf numFmtId="4" fontId="29" fillId="0" borderId="35" xfId="5" applyNumberFormat="1" applyFont="1" applyFill="1" applyBorder="1" applyAlignment="1" applyProtection="1">
      <alignment horizontal="right" vertical="center"/>
    </xf>
    <xf numFmtId="4" fontId="29" fillId="0" borderId="37" xfId="5" applyNumberFormat="1" applyFont="1" applyFill="1" applyBorder="1" applyAlignment="1" applyProtection="1">
      <alignment horizontal="right" vertical="center"/>
    </xf>
    <xf numFmtId="4" fontId="29" fillId="5" borderId="33" xfId="5" applyNumberFormat="1" applyFont="1" applyFill="1" applyBorder="1" applyAlignment="1" applyProtection="1">
      <alignment horizontal="right" vertical="center"/>
    </xf>
    <xf numFmtId="4" fontId="29" fillId="5" borderId="15" xfId="5" applyNumberFormat="1" applyFont="1" applyFill="1" applyBorder="1" applyAlignment="1" applyProtection="1">
      <alignment horizontal="right" vertical="center"/>
    </xf>
    <xf numFmtId="4" fontId="29" fillId="5" borderId="68" xfId="5" applyNumberFormat="1" applyFont="1" applyFill="1" applyBorder="1" applyAlignment="1" applyProtection="1">
      <alignment horizontal="right" vertical="center"/>
    </xf>
    <xf numFmtId="0" fontId="28" fillId="8" borderId="23" xfId="0" applyFont="1" applyFill="1" applyBorder="1" applyAlignment="1" applyProtection="1">
      <alignment horizontal="center" vertical="center"/>
      <protection locked="0"/>
    </xf>
    <xf numFmtId="0" fontId="28" fillId="8" borderId="30" xfId="0" applyFont="1" applyFill="1" applyBorder="1" applyAlignment="1" applyProtection="1">
      <alignment horizontal="center" vertical="center"/>
      <protection locked="0"/>
    </xf>
    <xf numFmtId="4" fontId="33" fillId="0" borderId="23" xfId="5" applyNumberFormat="1" applyFont="1" applyFill="1" applyBorder="1" applyAlignment="1" applyProtection="1">
      <alignment horizontal="right" vertical="center" wrapText="1"/>
      <protection locked="0"/>
    </xf>
    <xf numFmtId="4" fontId="33" fillId="0" borderId="24" xfId="5" applyNumberFormat="1" applyFont="1" applyFill="1" applyBorder="1" applyAlignment="1" applyProtection="1">
      <alignment horizontal="right" vertical="center"/>
      <protection locked="0"/>
    </xf>
    <xf numFmtId="0" fontId="7" fillId="8" borderId="23" xfId="0" applyFont="1" applyFill="1" applyBorder="1" applyAlignment="1" applyProtection="1">
      <alignment horizontal="center" vertical="center"/>
      <protection locked="0"/>
    </xf>
    <xf numFmtId="0" fontId="7" fillId="8" borderId="30" xfId="0" applyFont="1" applyFill="1" applyBorder="1" applyAlignment="1" applyProtection="1">
      <alignment horizontal="center" vertical="center"/>
      <protection locked="0"/>
    </xf>
    <xf numFmtId="49" fontId="7" fillId="8" borderId="23" xfId="0" applyNumberFormat="1" applyFont="1" applyFill="1" applyBorder="1" applyAlignment="1" applyProtection="1">
      <alignment horizontal="center" vertical="center"/>
      <protection locked="0"/>
    </xf>
    <xf numFmtId="49" fontId="7" fillId="8" borderId="30" xfId="0" applyNumberFormat="1" applyFont="1" applyFill="1" applyBorder="1" applyAlignment="1" applyProtection="1">
      <alignment horizontal="center" vertical="center"/>
      <protection locked="0"/>
    </xf>
    <xf numFmtId="0" fontId="7" fillId="8" borderId="23" xfId="0" applyFont="1" applyFill="1" applyBorder="1" applyAlignment="1" applyProtection="1">
      <alignment horizontal="left" vertical="center" wrapText="1"/>
      <protection locked="0"/>
    </xf>
    <xf numFmtId="0" fontId="7" fillId="8" borderId="24" xfId="0" applyFont="1" applyFill="1" applyBorder="1" applyAlignment="1" applyProtection="1">
      <alignment horizontal="left" vertical="center" wrapText="1"/>
      <protection locked="0"/>
    </xf>
    <xf numFmtId="0" fontId="7" fillId="8" borderId="30" xfId="0" applyFont="1" applyFill="1" applyBorder="1" applyAlignment="1" applyProtection="1">
      <alignment horizontal="left" vertical="center" wrapText="1"/>
      <protection locked="0"/>
    </xf>
    <xf numFmtId="0" fontId="27" fillId="8" borderId="23" xfId="0" applyFont="1" applyFill="1" applyBorder="1" applyAlignment="1" applyProtection="1">
      <alignment horizontal="center" vertical="center"/>
      <protection locked="0"/>
    </xf>
    <xf numFmtId="0" fontId="27" fillId="8" borderId="30" xfId="0" applyFont="1" applyFill="1" applyBorder="1" applyAlignment="1" applyProtection="1">
      <alignment horizontal="center" vertical="center"/>
      <protection locked="0"/>
    </xf>
    <xf numFmtId="4" fontId="29" fillId="8" borderId="23" xfId="0" applyNumberFormat="1" applyFont="1" applyFill="1" applyBorder="1" applyAlignment="1">
      <alignment horizontal="right" vertical="center"/>
    </xf>
    <xf numFmtId="4" fontId="29" fillId="8" borderId="24" xfId="0" applyNumberFormat="1" applyFont="1" applyFill="1" applyBorder="1" applyAlignment="1">
      <alignment horizontal="right" vertical="center"/>
    </xf>
    <xf numFmtId="4" fontId="29" fillId="8" borderId="30" xfId="0" applyNumberFormat="1" applyFont="1" applyFill="1" applyBorder="1" applyAlignment="1">
      <alignment horizontal="right" vertical="center"/>
    </xf>
    <xf numFmtId="4" fontId="33" fillId="0" borderId="23" xfId="5" applyNumberFormat="1" applyFont="1" applyFill="1" applyBorder="1" applyAlignment="1" applyProtection="1">
      <alignment horizontal="right" vertical="center"/>
      <protection locked="0"/>
    </xf>
    <xf numFmtId="4" fontId="33" fillId="0" borderId="30" xfId="5" applyNumberFormat="1" applyFont="1" applyFill="1" applyBorder="1" applyAlignment="1" applyProtection="1">
      <alignment horizontal="right" vertical="center"/>
      <protection locked="0"/>
    </xf>
    <xf numFmtId="0" fontId="2" fillId="8" borderId="23" xfId="0" applyFont="1" applyFill="1" applyBorder="1" applyAlignment="1" applyProtection="1">
      <alignment horizontal="right" vertical="center" wrapText="1"/>
      <protection locked="0"/>
    </xf>
    <xf numFmtId="0" fontId="2" fillId="8" borderId="24" xfId="0" applyFont="1" applyFill="1" applyBorder="1" applyAlignment="1" applyProtection="1">
      <alignment horizontal="right" vertical="center" wrapText="1"/>
      <protection locked="0"/>
    </xf>
    <xf numFmtId="0" fontId="2" fillId="8" borderId="30" xfId="0" applyFont="1" applyFill="1" applyBorder="1" applyAlignment="1" applyProtection="1">
      <alignment horizontal="right" vertical="center" wrapText="1"/>
      <protection locked="0"/>
    </xf>
    <xf numFmtId="0" fontId="15" fillId="8" borderId="23" xfId="0" applyFont="1" applyFill="1" applyBorder="1" applyAlignment="1" applyProtection="1">
      <alignment horizontal="center" vertical="center"/>
      <protection locked="0"/>
    </xf>
    <xf numFmtId="0" fontId="15" fillId="8" borderId="30" xfId="0" applyFont="1" applyFill="1" applyBorder="1" applyAlignment="1" applyProtection="1">
      <alignment horizontal="center" vertical="center"/>
      <protection locked="0"/>
    </xf>
    <xf numFmtId="4" fontId="29" fillId="0" borderId="23" xfId="5" applyNumberFormat="1" applyFont="1" applyFill="1" applyBorder="1" applyAlignment="1" applyProtection="1">
      <alignment horizontal="right" vertical="center"/>
    </xf>
    <xf numFmtId="4" fontId="29" fillId="0" borderId="24" xfId="5" applyNumberFormat="1" applyFont="1" applyFill="1" applyBorder="1" applyAlignment="1" applyProtection="1">
      <alignment horizontal="right" vertical="center"/>
    </xf>
    <xf numFmtId="4" fontId="29" fillId="0" borderId="69" xfId="5" applyNumberFormat="1" applyFont="1" applyFill="1" applyBorder="1" applyAlignment="1" applyProtection="1">
      <alignment horizontal="right" vertical="center"/>
    </xf>
    <xf numFmtId="4" fontId="29" fillId="5" borderId="63" xfId="5" applyNumberFormat="1" applyFont="1" applyFill="1" applyBorder="1" applyAlignment="1" applyProtection="1">
      <alignment horizontal="right" vertical="center"/>
    </xf>
    <xf numFmtId="4" fontId="29" fillId="5" borderId="24" xfId="5" applyNumberFormat="1" applyFont="1" applyFill="1" applyBorder="1" applyAlignment="1" applyProtection="1">
      <alignment horizontal="right" vertical="center"/>
    </xf>
    <xf numFmtId="4" fontId="29" fillId="5" borderId="30" xfId="5" applyNumberFormat="1" applyFont="1" applyFill="1" applyBorder="1" applyAlignment="1" applyProtection="1">
      <alignment horizontal="right" vertical="center"/>
    </xf>
    <xf numFmtId="0" fontId="27" fillId="0" borderId="23" xfId="0" applyFont="1" applyBorder="1" applyAlignment="1" applyProtection="1">
      <alignment horizontal="center" vertical="center"/>
      <protection locked="0"/>
    </xf>
    <xf numFmtId="0" fontId="27" fillId="0" borderId="30" xfId="0" applyFont="1" applyBorder="1" applyAlignment="1" applyProtection="1">
      <alignment horizontal="center" vertical="center"/>
      <protection locked="0"/>
    </xf>
    <xf numFmtId="4" fontId="29" fillId="5" borderId="23" xfId="5" applyNumberFormat="1" applyFont="1" applyFill="1" applyBorder="1" applyAlignment="1" applyProtection="1">
      <alignment horizontal="right" vertical="center"/>
    </xf>
    <xf numFmtId="4" fontId="29" fillId="5" borderId="69" xfId="5" applyNumberFormat="1" applyFont="1" applyFill="1" applyBorder="1" applyAlignment="1" applyProtection="1">
      <alignment horizontal="right" vertical="center"/>
    </xf>
    <xf numFmtId="0" fontId="1" fillId="6" borderId="0" xfId="0" applyFont="1" applyFill="1" applyAlignment="1">
      <alignment horizontal="left" wrapText="1"/>
    </xf>
    <xf numFmtId="0" fontId="4" fillId="6" borderId="0" xfId="0" applyFont="1" applyFill="1" applyAlignment="1">
      <alignment horizontal="left" wrapText="1"/>
    </xf>
    <xf numFmtId="0" fontId="29" fillId="7" borderId="23" xfId="0" applyFont="1" applyFill="1" applyBorder="1" applyAlignment="1" applyProtection="1">
      <alignment horizontal="center" vertical="center"/>
      <protection locked="0"/>
    </xf>
    <xf numFmtId="0" fontId="29" fillId="7" borderId="30" xfId="0" applyFont="1" applyFill="1" applyBorder="1" applyAlignment="1" applyProtection="1">
      <alignment horizontal="center" vertical="center"/>
      <protection locked="0"/>
    </xf>
    <xf numFmtId="4" fontId="29" fillId="7" borderId="23" xfId="0" applyNumberFormat="1" applyFont="1" applyFill="1" applyBorder="1" applyAlignment="1" applyProtection="1">
      <alignment horizontal="right" vertical="center"/>
      <protection locked="0"/>
    </xf>
    <xf numFmtId="4" fontId="29" fillId="7" borderId="24" xfId="0" applyNumberFormat="1" applyFont="1" applyFill="1" applyBorder="1" applyAlignment="1" applyProtection="1">
      <alignment horizontal="right" vertical="center"/>
      <protection locked="0"/>
    </xf>
    <xf numFmtId="4" fontId="29" fillId="7" borderId="30" xfId="0" applyNumberFormat="1" applyFont="1" applyFill="1" applyBorder="1" applyAlignment="1" applyProtection="1">
      <alignment horizontal="right" vertical="center"/>
      <protection locked="0"/>
    </xf>
    <xf numFmtId="4" fontId="33" fillId="7" borderId="34" xfId="5" applyNumberFormat="1" applyFont="1" applyFill="1" applyBorder="1" applyAlignment="1" applyProtection="1">
      <alignment horizontal="right" vertical="center"/>
      <protection locked="0"/>
    </xf>
    <xf numFmtId="4" fontId="33" fillId="7" borderId="35" xfId="5" applyNumberFormat="1" applyFont="1" applyFill="1" applyBorder="1" applyAlignment="1" applyProtection="1">
      <alignment horizontal="right" vertical="center"/>
      <protection locked="0"/>
    </xf>
    <xf numFmtId="4" fontId="33" fillId="7" borderId="36" xfId="5" applyNumberFormat="1" applyFont="1" applyFill="1" applyBorder="1" applyAlignment="1" applyProtection="1">
      <alignment horizontal="right" vertical="center"/>
      <protection locked="0"/>
    </xf>
    <xf numFmtId="165" fontId="14" fillId="3" borderId="14" xfId="5" applyFont="1" applyFill="1" applyBorder="1" applyAlignment="1" applyProtection="1">
      <alignment horizontal="right" vertical="center"/>
    </xf>
    <xf numFmtId="165" fontId="14" fillId="3" borderId="17" xfId="5" applyFont="1" applyFill="1" applyBorder="1" applyAlignment="1" applyProtection="1">
      <alignment horizontal="right" vertical="center"/>
    </xf>
    <xf numFmtId="165" fontId="14" fillId="3" borderId="59" xfId="5" applyFont="1" applyFill="1" applyBorder="1" applyAlignment="1" applyProtection="1">
      <alignment horizontal="right" vertical="center"/>
    </xf>
    <xf numFmtId="165" fontId="14" fillId="3" borderId="70" xfId="5" applyFont="1" applyFill="1" applyBorder="1" applyAlignment="1" applyProtection="1">
      <alignment horizontal="right" vertical="center"/>
    </xf>
    <xf numFmtId="165" fontId="14" fillId="3" borderId="27" xfId="5" applyFont="1" applyFill="1" applyBorder="1" applyAlignment="1" applyProtection="1">
      <alignment horizontal="right" vertical="center"/>
    </xf>
    <xf numFmtId="4" fontId="14" fillId="0" borderId="34" xfId="5" applyNumberFormat="1" applyFont="1" applyFill="1" applyBorder="1" applyAlignment="1" applyProtection="1">
      <alignment horizontal="right" vertical="center"/>
    </xf>
    <xf numFmtId="4" fontId="14" fillId="0" borderId="35" xfId="5" applyNumberFormat="1" applyFont="1" applyFill="1" applyBorder="1" applyAlignment="1" applyProtection="1">
      <alignment horizontal="right" vertical="center"/>
    </xf>
    <xf numFmtId="4" fontId="14" fillId="0" borderId="37" xfId="5" applyNumberFormat="1" applyFont="1" applyFill="1" applyBorder="1" applyAlignment="1" applyProtection="1">
      <alignment horizontal="right" vertical="center"/>
    </xf>
    <xf numFmtId="4" fontId="14" fillId="5" borderId="23" xfId="5" applyNumberFormat="1" applyFont="1" applyFill="1" applyBorder="1" applyAlignment="1" applyProtection="1">
      <alignment horizontal="right" vertical="center"/>
    </xf>
    <xf numFmtId="4" fontId="14" fillId="5" borderId="24" xfId="5" applyNumberFormat="1" applyFont="1" applyFill="1" applyBorder="1" applyAlignment="1" applyProtection="1">
      <alignment horizontal="right" vertical="center"/>
    </xf>
    <xf numFmtId="4" fontId="14" fillId="5" borderId="69" xfId="5" applyNumberFormat="1" applyFont="1" applyFill="1" applyBorder="1" applyAlignment="1" applyProtection="1">
      <alignment horizontal="right" vertical="center"/>
    </xf>
    <xf numFmtId="4" fontId="29" fillId="7" borderId="33" xfId="5" applyNumberFormat="1" applyFont="1" applyFill="1" applyBorder="1" applyAlignment="1" applyProtection="1">
      <alignment horizontal="right" vertical="center"/>
    </xf>
    <xf numFmtId="4" fontId="29" fillId="7" borderId="15" xfId="5" applyNumberFormat="1" applyFont="1" applyFill="1" applyBorder="1" applyAlignment="1" applyProtection="1">
      <alignment horizontal="right" vertical="center"/>
    </xf>
    <xf numFmtId="4" fontId="33" fillId="7" borderId="23" xfId="5" applyNumberFormat="1" applyFont="1" applyFill="1" applyBorder="1" applyAlignment="1" applyProtection="1">
      <alignment horizontal="right" vertical="center"/>
      <protection locked="0"/>
    </xf>
    <xf numFmtId="4" fontId="33" fillId="7" borderId="24" xfId="5" applyNumberFormat="1" applyFont="1" applyFill="1" applyBorder="1" applyAlignment="1" applyProtection="1">
      <alignment horizontal="right" vertical="center"/>
      <protection locked="0"/>
    </xf>
    <xf numFmtId="4" fontId="33" fillId="7" borderId="30" xfId="5" applyNumberFormat="1" applyFont="1" applyFill="1" applyBorder="1" applyAlignment="1" applyProtection="1">
      <alignment horizontal="right" vertical="center"/>
      <protection locked="0"/>
    </xf>
    <xf numFmtId="4" fontId="29" fillId="7" borderId="34" xfId="5" applyNumberFormat="1" applyFont="1" applyFill="1" applyBorder="1" applyAlignment="1" applyProtection="1">
      <alignment horizontal="right" vertical="center"/>
    </xf>
    <xf numFmtId="4" fontId="29" fillId="7" borderId="35" xfId="5" applyNumberFormat="1" applyFont="1" applyFill="1" applyBorder="1" applyAlignment="1" applyProtection="1">
      <alignment horizontal="right" vertical="center"/>
    </xf>
    <xf numFmtId="4" fontId="29" fillId="7" borderId="37" xfId="5" applyNumberFormat="1" applyFont="1" applyFill="1" applyBorder="1" applyAlignment="1" applyProtection="1">
      <alignment horizontal="right" vertical="center"/>
    </xf>
    <xf numFmtId="0" fontId="27" fillId="7" borderId="23" xfId="0" applyFont="1" applyFill="1" applyBorder="1" applyAlignment="1" applyProtection="1">
      <alignment horizontal="center" vertical="center"/>
      <protection locked="0"/>
    </xf>
    <xf numFmtId="0" fontId="27" fillId="7" borderId="30" xfId="0" applyFont="1" applyFill="1" applyBorder="1" applyAlignment="1" applyProtection="1">
      <alignment horizontal="center" vertical="center"/>
      <protection locked="0"/>
    </xf>
    <xf numFmtId="49" fontId="27" fillId="7" borderId="23" xfId="0" applyNumberFormat="1" applyFont="1" applyFill="1" applyBorder="1" applyAlignment="1" applyProtection="1">
      <alignment horizontal="center" vertical="center"/>
      <protection locked="0"/>
    </xf>
    <xf numFmtId="49" fontId="27" fillId="7" borderId="30" xfId="0" applyNumberFormat="1" applyFont="1" applyFill="1" applyBorder="1" applyAlignment="1" applyProtection="1">
      <alignment horizontal="center" vertical="center"/>
      <protection locked="0"/>
    </xf>
    <xf numFmtId="0" fontId="2" fillId="7" borderId="23" xfId="0" applyFont="1" applyFill="1" applyBorder="1" applyAlignment="1" applyProtection="1">
      <alignment horizontal="left" vertical="center" wrapText="1"/>
      <protection locked="0"/>
    </xf>
    <xf numFmtId="0" fontId="2" fillId="7" borderId="24" xfId="0" applyFont="1" applyFill="1" applyBorder="1" applyAlignment="1" applyProtection="1">
      <alignment horizontal="left" vertical="center" wrapText="1"/>
      <protection locked="0"/>
    </xf>
    <xf numFmtId="0" fontId="2" fillId="7" borderId="30" xfId="0" applyFont="1" applyFill="1" applyBorder="1" applyAlignment="1" applyProtection="1">
      <alignment horizontal="left" vertical="center" wrapText="1"/>
      <protection locked="0"/>
    </xf>
    <xf numFmtId="4" fontId="13" fillId="0" borderId="0" xfId="5" applyNumberFormat="1" applyFont="1" applyFill="1" applyBorder="1" applyAlignment="1" applyProtection="1">
      <alignment horizontal="right" vertical="center"/>
      <protection locked="0"/>
    </xf>
    <xf numFmtId="49" fontId="27" fillId="8" borderId="23" xfId="0" quotePrefix="1" applyNumberFormat="1" applyFont="1" applyFill="1" applyBorder="1" applyAlignment="1" applyProtection="1">
      <alignment horizontal="center" vertical="center" wrapText="1"/>
      <protection locked="0"/>
    </xf>
    <xf numFmtId="49" fontId="27" fillId="8" borderId="30" xfId="0" applyNumberFormat="1" applyFont="1" applyFill="1" applyBorder="1" applyAlignment="1" applyProtection="1">
      <alignment horizontal="center" vertical="center" wrapText="1"/>
      <protection locked="0"/>
    </xf>
    <xf numFmtId="4" fontId="29" fillId="7" borderId="68" xfId="5" applyNumberFormat="1" applyFont="1" applyFill="1" applyBorder="1" applyAlignment="1" applyProtection="1">
      <alignment horizontal="right" vertical="center"/>
    </xf>
    <xf numFmtId="4" fontId="7" fillId="8" borderId="23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23" xfId="0" applyNumberFormat="1" applyFont="1" applyBorder="1" applyAlignment="1" applyProtection="1">
      <alignment horizontal="right" vertical="center" wrapText="1"/>
      <protection locked="0"/>
    </xf>
    <xf numFmtId="4" fontId="33" fillId="0" borderId="24" xfId="0" applyNumberFormat="1" applyFont="1" applyBorder="1" applyAlignment="1" applyProtection="1">
      <alignment horizontal="right" vertical="center"/>
      <protection locked="0"/>
    </xf>
    <xf numFmtId="4" fontId="33" fillId="0" borderId="30" xfId="0" applyNumberFormat="1" applyFont="1" applyBorder="1" applyAlignment="1" applyProtection="1">
      <alignment horizontal="right" vertical="center"/>
      <protection locked="0"/>
    </xf>
    <xf numFmtId="10" fontId="7" fillId="6" borderId="25" xfId="0" applyNumberFormat="1" applyFont="1" applyFill="1" applyBorder="1" applyAlignment="1">
      <alignment horizontal="center" vertical="center"/>
    </xf>
    <xf numFmtId="10" fontId="7" fillId="6" borderId="26" xfId="0" applyNumberFormat="1" applyFont="1" applyFill="1" applyBorder="1" applyAlignment="1">
      <alignment horizontal="center" vertical="center"/>
    </xf>
    <xf numFmtId="10" fontId="7" fillId="6" borderId="45" xfId="0" applyNumberFormat="1" applyFont="1" applyFill="1" applyBorder="1" applyAlignment="1">
      <alignment horizontal="center" vertical="center"/>
    </xf>
    <xf numFmtId="10" fontId="7" fillId="4" borderId="26" xfId="3" applyNumberFormat="1" applyFont="1" applyFill="1" applyBorder="1" applyAlignment="1" applyProtection="1">
      <alignment horizontal="right" vertical="center"/>
      <protection locked="0"/>
    </xf>
    <xf numFmtId="10" fontId="7" fillId="4" borderId="45" xfId="3" applyNumberFormat="1" applyFont="1" applyFill="1" applyBorder="1" applyAlignment="1" applyProtection="1">
      <alignment horizontal="right" vertical="center"/>
      <protection locked="0"/>
    </xf>
    <xf numFmtId="4" fontId="33" fillId="0" borderId="23" xfId="5" applyNumberFormat="1" applyFont="1" applyFill="1" applyBorder="1" applyAlignment="1" applyProtection="1">
      <alignment horizontal="center" vertical="center"/>
      <protection locked="0"/>
    </xf>
    <xf numFmtId="4" fontId="33" fillId="0" borderId="24" xfId="5" applyNumberFormat="1" applyFont="1" applyFill="1" applyBorder="1" applyAlignment="1" applyProtection="1">
      <alignment horizontal="center" vertical="center"/>
      <protection locked="0"/>
    </xf>
    <xf numFmtId="4" fontId="29" fillId="7" borderId="41" xfId="5" applyNumberFormat="1" applyFont="1" applyFill="1" applyBorder="1" applyAlignment="1" applyProtection="1">
      <alignment horizontal="right" vertical="center"/>
    </xf>
    <xf numFmtId="4" fontId="29" fillId="7" borderId="29" xfId="5" applyNumberFormat="1" applyFont="1" applyFill="1" applyBorder="1" applyAlignment="1" applyProtection="1">
      <alignment horizontal="right" vertical="center"/>
    </xf>
    <xf numFmtId="4" fontId="29" fillId="7" borderId="67" xfId="5" applyNumberFormat="1" applyFont="1" applyFill="1" applyBorder="1" applyAlignment="1" applyProtection="1">
      <alignment horizontal="right" vertical="center"/>
    </xf>
    <xf numFmtId="49" fontId="11" fillId="7" borderId="21" xfId="0" applyNumberFormat="1" applyFont="1" applyFill="1" applyBorder="1" applyAlignment="1" applyProtection="1">
      <alignment horizontal="center" vertical="center"/>
      <protection locked="0"/>
    </xf>
    <xf numFmtId="49" fontId="11" fillId="7" borderId="42" xfId="0" applyNumberFormat="1" applyFont="1" applyFill="1" applyBorder="1" applyAlignment="1" applyProtection="1">
      <alignment horizontal="center" vertical="center"/>
      <protection locked="0"/>
    </xf>
    <xf numFmtId="4" fontId="8" fillId="7" borderId="21" xfId="0" applyNumberFormat="1" applyFont="1" applyFill="1" applyBorder="1" applyAlignment="1" applyProtection="1">
      <alignment horizontal="left" vertical="center" wrapText="1"/>
      <protection locked="0"/>
    </xf>
    <xf numFmtId="0" fontId="8" fillId="7" borderId="22" xfId="0" applyFont="1" applyFill="1" applyBorder="1" applyAlignment="1" applyProtection="1">
      <alignment horizontal="left" vertical="center" wrapText="1"/>
      <protection locked="0"/>
    </xf>
    <xf numFmtId="0" fontId="8" fillId="7" borderId="42" xfId="0" applyFont="1" applyFill="1" applyBorder="1" applyAlignment="1" applyProtection="1">
      <alignment horizontal="left" vertical="center" wrapText="1"/>
      <protection locked="0"/>
    </xf>
    <xf numFmtId="0" fontId="29" fillId="7" borderId="21" xfId="0" applyFont="1" applyFill="1" applyBorder="1" applyAlignment="1" applyProtection="1">
      <alignment horizontal="center" vertical="center"/>
      <protection locked="0"/>
    </xf>
    <xf numFmtId="0" fontId="29" fillId="7" borderId="42" xfId="0" applyFont="1" applyFill="1" applyBorder="1" applyAlignment="1" applyProtection="1">
      <alignment horizontal="center" vertical="center"/>
      <protection locked="0"/>
    </xf>
    <xf numFmtId="4" fontId="33" fillId="7" borderId="38" xfId="5" applyNumberFormat="1" applyFont="1" applyFill="1" applyBorder="1" applyAlignment="1" applyProtection="1">
      <alignment horizontal="right" vertical="center"/>
      <protection locked="0"/>
    </xf>
    <xf numFmtId="4" fontId="33" fillId="7" borderId="39" xfId="5" applyNumberFormat="1" applyFont="1" applyFill="1" applyBorder="1" applyAlignment="1" applyProtection="1">
      <alignment horizontal="right" vertical="center"/>
      <protection locked="0"/>
    </xf>
    <xf numFmtId="4" fontId="33" fillId="7" borderId="43" xfId="5" applyNumberFormat="1" applyFont="1" applyFill="1" applyBorder="1" applyAlignment="1" applyProtection="1">
      <alignment horizontal="right" vertical="center"/>
      <protection locked="0"/>
    </xf>
    <xf numFmtId="4" fontId="29" fillId="7" borderId="38" xfId="5" applyNumberFormat="1" applyFont="1" applyFill="1" applyBorder="1" applyAlignment="1" applyProtection="1">
      <alignment horizontal="right" vertical="center"/>
    </xf>
    <xf numFmtId="4" fontId="29" fillId="7" borderId="39" xfId="5" applyNumberFormat="1" applyFont="1" applyFill="1" applyBorder="1" applyAlignment="1" applyProtection="1">
      <alignment horizontal="right" vertical="center"/>
    </xf>
    <xf numFmtId="4" fontId="29" fillId="7" borderId="40" xfId="5" applyNumberFormat="1" applyFont="1" applyFill="1" applyBorder="1" applyAlignment="1" applyProtection="1">
      <alignment horizontal="right" vertical="center"/>
    </xf>
    <xf numFmtId="0" fontId="17" fillId="3" borderId="4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7" fillId="3" borderId="19" xfId="0" applyFont="1" applyFill="1" applyBorder="1" applyAlignment="1">
      <alignment horizontal="center" vertical="center"/>
    </xf>
    <xf numFmtId="0" fontId="17" fillId="3" borderId="20" xfId="0" applyFont="1" applyFill="1" applyBorder="1" applyAlignment="1">
      <alignment horizontal="center" vertical="center"/>
    </xf>
    <xf numFmtId="0" fontId="17" fillId="3" borderId="28" xfId="0" applyFont="1" applyFill="1" applyBorder="1" applyAlignment="1">
      <alignment horizontal="center" vertical="center"/>
    </xf>
    <xf numFmtId="0" fontId="17" fillId="3" borderId="44" xfId="0" applyFont="1" applyFill="1" applyBorder="1" applyAlignment="1">
      <alignment horizontal="center" vertical="center"/>
    </xf>
    <xf numFmtId="0" fontId="17" fillId="3" borderId="60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right" vertical="center"/>
    </xf>
    <xf numFmtId="0" fontId="9" fillId="2" borderId="5" xfId="0" applyFont="1" applyFill="1" applyBorder="1" applyAlignment="1">
      <alignment horizontal="right" vertical="center"/>
    </xf>
    <xf numFmtId="0" fontId="17" fillId="4" borderId="44" xfId="0" applyFont="1" applyFill="1" applyBorder="1" applyAlignment="1" applyProtection="1">
      <alignment horizontal="left" vertical="center"/>
      <protection locked="0"/>
    </xf>
    <xf numFmtId="0" fontId="17" fillId="4" borderId="20" xfId="0" applyFont="1" applyFill="1" applyBorder="1" applyAlignment="1" applyProtection="1">
      <alignment horizontal="left" vertical="center"/>
      <protection locked="0"/>
    </xf>
    <xf numFmtId="0" fontId="17" fillId="4" borderId="28" xfId="0" applyFont="1" applyFill="1" applyBorder="1" applyAlignment="1" applyProtection="1">
      <alignment horizontal="left" vertical="center"/>
      <protection locked="0"/>
    </xf>
    <xf numFmtId="0" fontId="3" fillId="4" borderId="19" xfId="0" applyFont="1" applyFill="1" applyBorder="1" applyAlignment="1" applyProtection="1">
      <alignment horizontal="center" vertical="center"/>
      <protection locked="0"/>
    </xf>
    <xf numFmtId="0" fontId="3" fillId="4" borderId="20" xfId="0" applyFont="1" applyFill="1" applyBorder="1" applyAlignment="1" applyProtection="1">
      <alignment horizontal="center" vertical="center"/>
      <protection locked="0"/>
    </xf>
    <xf numFmtId="0" fontId="3" fillId="4" borderId="60" xfId="0" applyFont="1" applyFill="1" applyBorder="1" applyAlignment="1" applyProtection="1">
      <alignment horizontal="center" vertical="center"/>
      <protection locked="0"/>
    </xf>
    <xf numFmtId="0" fontId="17" fillId="4" borderId="44" xfId="0" applyFont="1" applyFill="1" applyBorder="1" applyAlignment="1" applyProtection="1">
      <alignment horizontal="left" vertical="center" wrapText="1"/>
      <protection locked="0"/>
    </xf>
    <xf numFmtId="0" fontId="17" fillId="4" borderId="20" xfId="0" applyFont="1" applyFill="1" applyBorder="1" applyAlignment="1" applyProtection="1">
      <alignment horizontal="left" vertical="center" wrapText="1"/>
      <protection locked="0"/>
    </xf>
    <xf numFmtId="0" fontId="17" fillId="4" borderId="28" xfId="0" applyFont="1" applyFill="1" applyBorder="1" applyAlignment="1" applyProtection="1">
      <alignment horizontal="left" vertical="center" wrapText="1"/>
      <protection locked="0"/>
    </xf>
    <xf numFmtId="0" fontId="17" fillId="4" borderId="19" xfId="0" applyFont="1" applyFill="1" applyBorder="1" applyAlignment="1" applyProtection="1">
      <alignment horizontal="left" vertical="center"/>
      <protection locked="0"/>
    </xf>
    <xf numFmtId="0" fontId="17" fillId="4" borderId="19" xfId="0" applyFont="1" applyFill="1" applyBorder="1" applyAlignment="1" applyProtection="1">
      <alignment horizontal="center" vertical="center"/>
      <protection locked="0"/>
    </xf>
    <xf numFmtId="0" fontId="17" fillId="4" borderId="60" xfId="0" applyFont="1" applyFill="1" applyBorder="1" applyAlignment="1" applyProtection="1">
      <alignment horizontal="center" vertical="center"/>
      <protection locked="0"/>
    </xf>
    <xf numFmtId="0" fontId="15" fillId="0" borderId="18" xfId="0" applyFont="1" applyBorder="1" applyAlignment="1">
      <alignment horizontal="left" vertical="center" wrapText="1"/>
    </xf>
    <xf numFmtId="0" fontId="15" fillId="0" borderId="61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60" xfId="0" applyFont="1" applyBorder="1" applyAlignment="1">
      <alignment horizontal="left" vertical="center" wrapText="1"/>
    </xf>
    <xf numFmtId="10" fontId="7" fillId="6" borderId="24" xfId="0" applyNumberFormat="1" applyFont="1" applyFill="1" applyBorder="1" applyAlignment="1">
      <alignment horizontal="center" vertical="center"/>
    </xf>
    <xf numFmtId="10" fontId="7" fillId="6" borderId="30" xfId="0" applyNumberFormat="1" applyFont="1" applyFill="1" applyBorder="1" applyAlignment="1">
      <alignment horizontal="center" vertical="center"/>
    </xf>
    <xf numFmtId="10" fontId="7" fillId="4" borderId="24" xfId="3" applyNumberFormat="1" applyFont="1" applyFill="1" applyBorder="1" applyAlignment="1" applyProtection="1">
      <alignment horizontal="right" vertical="center"/>
      <protection locked="0"/>
    </xf>
    <xf numFmtId="10" fontId="7" fillId="4" borderId="30" xfId="3" applyNumberFormat="1" applyFont="1" applyFill="1" applyBorder="1" applyAlignment="1" applyProtection="1">
      <alignment horizontal="right" vertical="center"/>
      <protection locked="0"/>
    </xf>
    <xf numFmtId="10" fontId="7" fillId="6" borderId="22" xfId="0" applyNumberFormat="1" applyFont="1" applyFill="1" applyBorder="1" applyAlignment="1">
      <alignment horizontal="center" vertical="center"/>
    </xf>
    <xf numFmtId="10" fontId="7" fillId="6" borderId="42" xfId="0" applyNumberFormat="1" applyFont="1" applyFill="1" applyBorder="1" applyAlignment="1">
      <alignment horizontal="center" vertical="center"/>
    </xf>
    <xf numFmtId="10" fontId="7" fillId="4" borderId="22" xfId="3" applyNumberFormat="1" applyFont="1" applyFill="1" applyBorder="1" applyAlignment="1" applyProtection="1">
      <alignment horizontal="right" vertical="center"/>
      <protection locked="0"/>
    </xf>
    <xf numFmtId="10" fontId="7" fillId="4" borderId="42" xfId="3" applyNumberFormat="1" applyFont="1" applyFill="1" applyBorder="1" applyAlignment="1" applyProtection="1">
      <alignment horizontal="right" vertical="center"/>
      <protection locked="0"/>
    </xf>
    <xf numFmtId="0" fontId="7" fillId="0" borderId="9" xfId="0" applyFont="1" applyBorder="1" applyAlignment="1">
      <alignment horizontal="center" vertical="center"/>
    </xf>
    <xf numFmtId="4" fontId="7" fillId="0" borderId="0" xfId="5" applyNumberFormat="1" applyFont="1" applyFill="1" applyBorder="1" applyAlignment="1" applyProtection="1">
      <alignment horizontal="right" vertical="center"/>
      <protection locked="0"/>
    </xf>
    <xf numFmtId="165" fontId="7" fillId="0" borderId="0" xfId="5" applyFont="1" applyFill="1" applyBorder="1" applyAlignment="1" applyProtection="1">
      <alignment horizontal="right" vertical="center"/>
      <protection locked="0"/>
    </xf>
    <xf numFmtId="0" fontId="2" fillId="4" borderId="44" xfId="0" applyFont="1" applyFill="1" applyBorder="1" applyAlignment="1" applyProtection="1">
      <alignment horizontal="left" vertical="center"/>
      <protection locked="0"/>
    </xf>
    <xf numFmtId="0" fontId="2" fillId="4" borderId="20" xfId="0" applyFont="1" applyFill="1" applyBorder="1" applyAlignment="1" applyProtection="1">
      <alignment horizontal="left" vertical="center"/>
      <protection locked="0"/>
    </xf>
    <xf numFmtId="0" fontId="2" fillId="4" borderId="28" xfId="0" applyFont="1" applyFill="1" applyBorder="1" applyAlignment="1" applyProtection="1">
      <alignment horizontal="left" vertical="center"/>
      <protection locked="0"/>
    </xf>
    <xf numFmtId="166" fontId="2" fillId="4" borderId="19" xfId="0" applyNumberFormat="1" applyFont="1" applyFill="1" applyBorder="1" applyAlignment="1" applyProtection="1">
      <alignment horizontal="left" vertical="center"/>
      <protection locked="0"/>
    </xf>
    <xf numFmtId="166" fontId="2" fillId="4" borderId="20" xfId="0" applyNumberFormat="1" applyFont="1" applyFill="1" applyBorder="1" applyAlignment="1" applyProtection="1">
      <alignment horizontal="left" vertical="center"/>
      <protection locked="0"/>
    </xf>
    <xf numFmtId="166" fontId="2" fillId="4" borderId="28" xfId="0" applyNumberFormat="1" applyFont="1" applyFill="1" applyBorder="1" applyAlignment="1" applyProtection="1">
      <alignment horizontal="left" vertical="center"/>
      <protection locked="0"/>
    </xf>
    <xf numFmtId="166" fontId="5" fillId="7" borderId="19" xfId="0" applyNumberFormat="1" applyFont="1" applyFill="1" applyBorder="1" applyAlignment="1" applyProtection="1">
      <alignment horizontal="left" vertical="center" wrapText="1"/>
      <protection locked="0"/>
    </xf>
    <xf numFmtId="166" fontId="5" fillId="7" borderId="20" xfId="0" applyNumberFormat="1" applyFont="1" applyFill="1" applyBorder="1" applyAlignment="1" applyProtection="1">
      <alignment horizontal="left" vertical="center" wrapText="1"/>
      <protection locked="0"/>
    </xf>
    <xf numFmtId="166" fontId="5" fillId="7" borderId="60" xfId="0" applyNumberFormat="1" applyFont="1" applyFill="1" applyBorder="1" applyAlignment="1" applyProtection="1">
      <alignment horizontal="left" vertical="center" wrapText="1"/>
      <protection locked="0"/>
    </xf>
    <xf numFmtId="0" fontId="8" fillId="3" borderId="17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17" fillId="3" borderId="46" xfId="0" applyFont="1" applyFill="1" applyBorder="1" applyAlignment="1">
      <alignment horizontal="right" vertical="center"/>
    </xf>
    <xf numFmtId="0" fontId="17" fillId="3" borderId="18" xfId="0" applyFont="1" applyFill="1" applyBorder="1" applyAlignment="1">
      <alignment horizontal="right" vertical="center"/>
    </xf>
    <xf numFmtId="0" fontId="17" fillId="3" borderId="27" xfId="0" applyFont="1" applyFill="1" applyBorder="1" applyAlignment="1">
      <alignment horizontal="right" vertical="center"/>
    </xf>
    <xf numFmtId="0" fontId="17" fillId="3" borderId="47" xfId="0" applyFont="1" applyFill="1" applyBorder="1" applyAlignment="1">
      <alignment horizontal="right" vertical="center"/>
    </xf>
    <xf numFmtId="0" fontId="17" fillId="3" borderId="20" xfId="0" applyFont="1" applyFill="1" applyBorder="1" applyAlignment="1">
      <alignment horizontal="right" vertical="center"/>
    </xf>
    <xf numFmtId="0" fontId="17" fillId="3" borderId="28" xfId="0" applyFont="1" applyFill="1" applyBorder="1" applyAlignment="1">
      <alignment horizontal="right" vertical="center"/>
    </xf>
    <xf numFmtId="10" fontId="17" fillId="5" borderId="17" xfId="3" applyNumberFormat="1" applyFont="1" applyFill="1" applyBorder="1" applyAlignment="1" applyProtection="1">
      <alignment horizontal="center" vertical="center"/>
    </xf>
    <xf numFmtId="10" fontId="17" fillId="5" borderId="18" xfId="3" applyNumberFormat="1" applyFont="1" applyFill="1" applyBorder="1" applyAlignment="1" applyProtection="1">
      <alignment horizontal="center" vertical="center"/>
    </xf>
    <xf numFmtId="10" fontId="17" fillId="5" borderId="61" xfId="3" applyNumberFormat="1" applyFont="1" applyFill="1" applyBorder="1" applyAlignment="1" applyProtection="1">
      <alignment horizontal="center" vertical="center"/>
    </xf>
    <xf numFmtId="10" fontId="17" fillId="5" borderId="19" xfId="3" applyNumberFormat="1" applyFont="1" applyFill="1" applyBorder="1" applyAlignment="1" applyProtection="1">
      <alignment horizontal="center" vertical="center"/>
    </xf>
    <xf numFmtId="10" fontId="17" fillId="5" borderId="20" xfId="3" applyNumberFormat="1" applyFont="1" applyFill="1" applyBorder="1" applyAlignment="1" applyProtection="1">
      <alignment horizontal="center" vertical="center"/>
    </xf>
    <xf numFmtId="10" fontId="17" fillId="5" borderId="60" xfId="3" applyNumberFormat="1" applyFont="1" applyFill="1" applyBorder="1" applyAlignment="1" applyProtection="1">
      <alignment horizontal="center" vertical="center"/>
    </xf>
    <xf numFmtId="0" fontId="8" fillId="3" borderId="59" xfId="0" applyFont="1" applyFill="1" applyBorder="1" applyAlignment="1">
      <alignment horizontal="center" vertical="center" textRotation="90"/>
    </xf>
    <xf numFmtId="0" fontId="8" fillId="3" borderId="65" xfId="0" applyFont="1" applyFill="1" applyBorder="1" applyAlignment="1">
      <alignment horizontal="center" vertical="center" textRotation="90"/>
    </xf>
    <xf numFmtId="0" fontId="8" fillId="3" borderId="66" xfId="0" applyFont="1" applyFill="1" applyBorder="1" applyAlignment="1">
      <alignment horizontal="center" vertical="center" textRotation="90"/>
    </xf>
    <xf numFmtId="0" fontId="8" fillId="3" borderId="27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28" xfId="0" applyFont="1" applyFill="1" applyBorder="1" applyAlignment="1">
      <alignment horizontal="center" vertical="center"/>
    </xf>
    <xf numFmtId="0" fontId="17" fillId="3" borderId="17" xfId="0" applyFont="1" applyFill="1" applyBorder="1" applyAlignment="1">
      <alignment horizontal="center" vertical="center"/>
    </xf>
    <xf numFmtId="0" fontId="17" fillId="3" borderId="27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/>
    </xf>
    <xf numFmtId="0" fontId="17" fillId="3" borderId="16" xfId="0" applyFont="1" applyFill="1" applyBorder="1" applyAlignment="1">
      <alignment horizontal="center" vertical="center"/>
    </xf>
    <xf numFmtId="167" fontId="17" fillId="3" borderId="17" xfId="0" applyNumberFormat="1" applyFont="1" applyFill="1" applyBorder="1" applyAlignment="1">
      <alignment horizontal="center" vertical="center"/>
    </xf>
    <xf numFmtId="167" fontId="17" fillId="3" borderId="18" xfId="0" applyNumberFormat="1" applyFont="1" applyFill="1" applyBorder="1" applyAlignment="1">
      <alignment horizontal="center" vertical="center"/>
    </xf>
    <xf numFmtId="167" fontId="17" fillId="3" borderId="27" xfId="0" applyNumberFormat="1" applyFont="1" applyFill="1" applyBorder="1" applyAlignment="1">
      <alignment horizontal="center" vertical="center"/>
    </xf>
    <xf numFmtId="167" fontId="17" fillId="3" borderId="11" xfId="0" applyNumberFormat="1" applyFont="1" applyFill="1" applyBorder="1" applyAlignment="1">
      <alignment horizontal="center" vertical="center"/>
    </xf>
    <xf numFmtId="167" fontId="17" fillId="3" borderId="0" xfId="0" applyNumberFormat="1" applyFont="1" applyFill="1" applyAlignment="1">
      <alignment horizontal="center" vertical="center"/>
    </xf>
    <xf numFmtId="167" fontId="17" fillId="3" borderId="16" xfId="0" applyNumberFormat="1" applyFont="1" applyFill="1" applyBorder="1" applyAlignment="1">
      <alignment horizontal="center" vertical="center"/>
    </xf>
    <xf numFmtId="167" fontId="17" fillId="3" borderId="19" xfId="0" applyNumberFormat="1" applyFont="1" applyFill="1" applyBorder="1" applyAlignment="1">
      <alignment horizontal="center" vertical="center"/>
    </xf>
    <xf numFmtId="167" fontId="17" fillId="3" borderId="20" xfId="0" applyNumberFormat="1" applyFont="1" applyFill="1" applyBorder="1" applyAlignment="1">
      <alignment horizontal="center" vertical="center"/>
    </xf>
    <xf numFmtId="167" fontId="17" fillId="3" borderId="28" xfId="0" applyNumberFormat="1" applyFont="1" applyFill="1" applyBorder="1" applyAlignment="1">
      <alignment horizontal="center" vertical="center"/>
    </xf>
    <xf numFmtId="0" fontId="17" fillId="3" borderId="10" xfId="0" applyFont="1" applyFill="1" applyBorder="1" applyAlignment="1">
      <alignment horizontal="center" vertical="center"/>
    </xf>
    <xf numFmtId="0" fontId="28" fillId="3" borderId="52" xfId="0" applyFont="1" applyFill="1" applyBorder="1" applyAlignment="1">
      <alignment horizontal="center" vertical="center"/>
    </xf>
    <xf numFmtId="0" fontId="28" fillId="3" borderId="18" xfId="0" applyFont="1" applyFill="1" applyBorder="1" applyAlignment="1">
      <alignment horizontal="center" vertical="center"/>
    </xf>
    <xf numFmtId="0" fontId="28" fillId="3" borderId="27" xfId="0" applyFont="1" applyFill="1" applyBorder="1" applyAlignment="1">
      <alignment horizontal="center" vertical="center"/>
    </xf>
    <xf numFmtId="0" fontId="28" fillId="3" borderId="44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4" fontId="7" fillId="0" borderId="0" xfId="5" applyNumberFormat="1" applyFont="1" applyFill="1" applyBorder="1" applyAlignment="1" applyProtection="1">
      <alignment horizontal="center" vertical="center"/>
      <protection locked="0"/>
    </xf>
    <xf numFmtId="4" fontId="1" fillId="8" borderId="23" xfId="0" applyNumberFormat="1" applyFont="1" applyFill="1" applyBorder="1" applyAlignment="1" applyProtection="1">
      <alignment horizontal="left" vertical="center" wrapText="1"/>
      <protection locked="0"/>
    </xf>
    <xf numFmtId="4" fontId="14" fillId="5" borderId="15" xfId="5" applyNumberFormat="1" applyFont="1" applyFill="1" applyBorder="1" applyAlignment="1" applyProtection="1">
      <alignment horizontal="right" vertical="center"/>
    </xf>
    <xf numFmtId="4" fontId="14" fillId="5" borderId="68" xfId="5" applyNumberFormat="1" applyFont="1" applyFill="1" applyBorder="1" applyAlignment="1" applyProtection="1">
      <alignment horizontal="right" vertical="center"/>
    </xf>
    <xf numFmtId="0" fontId="14" fillId="7" borderId="23" xfId="0" applyFont="1" applyFill="1" applyBorder="1" applyAlignment="1" applyProtection="1">
      <alignment horizontal="center" vertical="center"/>
      <protection locked="0"/>
    </xf>
    <xf numFmtId="0" fontId="14" fillId="7" borderId="30" xfId="0" applyFont="1" applyFill="1" applyBorder="1" applyAlignment="1" applyProtection="1">
      <alignment horizontal="center" vertical="center"/>
      <protection locked="0"/>
    </xf>
    <xf numFmtId="49" fontId="14" fillId="7" borderId="23" xfId="0" quotePrefix="1" applyNumberFormat="1" applyFont="1" applyFill="1" applyBorder="1" applyAlignment="1" applyProtection="1">
      <alignment horizontal="center" vertical="center" wrapText="1"/>
      <protection locked="0"/>
    </xf>
    <xf numFmtId="49" fontId="14" fillId="7" borderId="30" xfId="0" applyNumberFormat="1" applyFont="1" applyFill="1" applyBorder="1" applyAlignment="1" applyProtection="1">
      <alignment horizontal="center" vertical="center" wrapText="1"/>
      <protection locked="0"/>
    </xf>
    <xf numFmtId="0" fontId="14" fillId="7" borderId="23" xfId="0" applyFont="1" applyFill="1" applyBorder="1" applyAlignment="1" applyProtection="1">
      <alignment horizontal="left" vertical="center" wrapText="1"/>
      <protection locked="0"/>
    </xf>
    <xf numFmtId="0" fontId="14" fillId="7" borderId="24" xfId="0" applyFont="1" applyFill="1" applyBorder="1" applyAlignment="1" applyProtection="1">
      <alignment horizontal="left" vertical="center" wrapText="1"/>
      <protection locked="0"/>
    </xf>
    <xf numFmtId="0" fontId="14" fillId="7" borderId="30" xfId="0" applyFont="1" applyFill="1" applyBorder="1" applyAlignment="1" applyProtection="1">
      <alignment horizontal="left" vertical="center" wrapText="1"/>
      <protection locked="0"/>
    </xf>
    <xf numFmtId="4" fontId="29" fillId="7" borderId="23" xfId="0" applyNumberFormat="1" applyFont="1" applyFill="1" applyBorder="1" applyAlignment="1">
      <alignment horizontal="right" vertical="center"/>
    </xf>
    <xf numFmtId="4" fontId="29" fillId="7" borderId="24" xfId="0" applyNumberFormat="1" applyFont="1" applyFill="1" applyBorder="1" applyAlignment="1">
      <alignment horizontal="right" vertical="center"/>
    </xf>
    <xf numFmtId="4" fontId="29" fillId="7" borderId="30" xfId="0" applyNumberFormat="1" applyFont="1" applyFill="1" applyBorder="1" applyAlignment="1">
      <alignment horizontal="right" vertical="center"/>
    </xf>
    <xf numFmtId="49" fontId="27" fillId="8" borderId="23" xfId="0" applyNumberFormat="1" applyFont="1" applyFill="1" applyBorder="1" applyAlignment="1" applyProtection="1">
      <alignment horizontal="center" vertical="center" wrapText="1"/>
      <protection locked="0"/>
    </xf>
    <xf numFmtId="4" fontId="33" fillId="6" borderId="34" xfId="5" applyNumberFormat="1" applyFont="1" applyFill="1" applyBorder="1" applyAlignment="1" applyProtection="1">
      <alignment horizontal="right" vertical="center"/>
      <protection locked="0"/>
    </xf>
    <xf numFmtId="4" fontId="33" fillId="6" borderId="35" xfId="5" applyNumberFormat="1" applyFont="1" applyFill="1" applyBorder="1" applyAlignment="1" applyProtection="1">
      <alignment horizontal="right" vertical="center"/>
      <protection locked="0"/>
    </xf>
    <xf numFmtId="4" fontId="33" fillId="6" borderId="36" xfId="5" applyNumberFormat="1" applyFont="1" applyFill="1" applyBorder="1" applyAlignment="1" applyProtection="1">
      <alignment horizontal="right" vertical="center"/>
      <protection locked="0"/>
    </xf>
    <xf numFmtId="0" fontId="11" fillId="8" borderId="23" xfId="0" applyFont="1" applyFill="1" applyBorder="1" applyAlignment="1" applyProtection="1">
      <alignment horizontal="center" vertical="center"/>
      <protection locked="0"/>
    </xf>
    <xf numFmtId="0" fontId="11" fillId="8" borderId="30" xfId="0" applyFont="1" applyFill="1" applyBorder="1" applyAlignment="1" applyProtection="1">
      <alignment horizontal="center" vertical="center"/>
      <protection locked="0"/>
    </xf>
    <xf numFmtId="49" fontId="11" fillId="8" borderId="23" xfId="0" applyNumberFormat="1" applyFont="1" applyFill="1" applyBorder="1" applyAlignment="1" applyProtection="1">
      <alignment horizontal="center" vertical="center"/>
      <protection locked="0"/>
    </xf>
    <xf numFmtId="49" fontId="11" fillId="8" borderId="30" xfId="0" applyNumberFormat="1" applyFont="1" applyFill="1" applyBorder="1" applyAlignment="1" applyProtection="1">
      <alignment horizontal="center" vertical="center"/>
      <protection locked="0"/>
    </xf>
    <xf numFmtId="0" fontId="8" fillId="8" borderId="23" xfId="0" applyFont="1" applyFill="1" applyBorder="1" applyAlignment="1" applyProtection="1">
      <alignment horizontal="right" vertical="center" wrapText="1"/>
      <protection locked="0"/>
    </xf>
    <xf numFmtId="0" fontId="8" fillId="8" borderId="24" xfId="0" applyFont="1" applyFill="1" applyBorder="1" applyAlignment="1" applyProtection="1">
      <alignment horizontal="right" vertical="center" wrapText="1"/>
      <protection locked="0"/>
    </xf>
    <xf numFmtId="0" fontId="8" fillId="8" borderId="30" xfId="0" applyFont="1" applyFill="1" applyBorder="1" applyAlignment="1" applyProtection="1">
      <alignment horizontal="right" vertical="center" wrapText="1"/>
      <protection locked="0"/>
    </xf>
    <xf numFmtId="4" fontId="33" fillId="0" borderId="15" xfId="5" applyNumberFormat="1" applyFont="1" applyFill="1" applyBorder="1" applyAlignment="1" applyProtection="1">
      <alignment horizontal="right" vertical="center"/>
      <protection locked="0"/>
    </xf>
    <xf numFmtId="0" fontId="30" fillId="10" borderId="33" xfId="0" applyFont="1" applyFill="1" applyBorder="1" applyAlignment="1">
      <alignment vertical="top" wrapText="1"/>
    </xf>
    <xf numFmtId="0" fontId="30" fillId="10" borderId="77" xfId="0" applyFont="1" applyFill="1" applyBorder="1" applyAlignment="1">
      <alignment vertical="top" wrapText="1"/>
    </xf>
    <xf numFmtId="0" fontId="30" fillId="10" borderId="15" xfId="0" applyFont="1" applyFill="1" applyBorder="1" applyAlignment="1">
      <alignment vertical="top" wrapText="1"/>
    </xf>
    <xf numFmtId="0" fontId="30" fillId="10" borderId="78" xfId="0" applyFont="1" applyFill="1" applyBorder="1" applyAlignment="1">
      <alignment vertical="top" wrapText="1"/>
    </xf>
    <xf numFmtId="0" fontId="5" fillId="10" borderId="52" xfId="0" applyFont="1" applyFill="1" applyBorder="1" applyAlignment="1">
      <alignment horizontal="center" vertical="center" wrapText="1"/>
    </xf>
    <xf numFmtId="0" fontId="5" fillId="10" borderId="27" xfId="0" applyFont="1" applyFill="1" applyBorder="1" applyAlignment="1">
      <alignment horizontal="center" vertical="center" wrapText="1"/>
    </xf>
    <xf numFmtId="0" fontId="5" fillId="10" borderId="32" xfId="0" applyFont="1" applyFill="1" applyBorder="1" applyAlignment="1">
      <alignment horizontal="center" vertical="center" wrapText="1"/>
    </xf>
    <xf numFmtId="0" fontId="5" fillId="10" borderId="51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49" fontId="31" fillId="10" borderId="33" xfId="0" applyNumberFormat="1" applyFont="1" applyFill="1" applyBorder="1" applyAlignment="1">
      <alignment vertical="top" wrapText="1"/>
    </xf>
    <xf numFmtId="49" fontId="31" fillId="10" borderId="15" xfId="0" applyNumberFormat="1" applyFont="1" applyFill="1" applyBorder="1" applyAlignment="1">
      <alignment vertical="top" wrapText="1"/>
    </xf>
    <xf numFmtId="0" fontId="30" fillId="10" borderId="77" xfId="0" applyFont="1" applyFill="1" applyBorder="1" applyAlignment="1">
      <alignment horizontal="center" vertical="top" wrapText="1"/>
    </xf>
    <xf numFmtId="0" fontId="30" fillId="10" borderId="76" xfId="0" applyFont="1" applyFill="1" applyBorder="1" applyAlignment="1">
      <alignment horizontal="center" vertical="top" wrapText="1"/>
    </xf>
    <xf numFmtId="0" fontId="5" fillId="10" borderId="15" xfId="0" applyFont="1" applyFill="1" applyBorder="1" applyAlignment="1">
      <alignment vertical="top" wrapText="1"/>
    </xf>
    <xf numFmtId="0" fontId="5" fillId="10" borderId="33" xfId="0" applyFont="1" applyFill="1" applyBorder="1" applyAlignment="1">
      <alignment horizontal="center" vertical="top" wrapText="1"/>
    </xf>
    <xf numFmtId="0" fontId="5" fillId="10" borderId="78" xfId="0" applyFont="1" applyFill="1" applyBorder="1" applyAlignment="1">
      <alignment horizontal="left" vertical="top" wrapText="1"/>
    </xf>
    <xf numFmtId="0" fontId="5" fillId="10" borderId="75" xfId="0" applyFont="1" applyFill="1" applyBorder="1" applyAlignment="1">
      <alignment horizontal="left" vertical="top" wrapText="1"/>
    </xf>
    <xf numFmtId="0" fontId="30" fillId="10" borderId="33" xfId="0" applyFont="1" applyFill="1" applyBorder="1" applyAlignment="1">
      <alignment horizontal="center" vertical="top" wrapText="1"/>
    </xf>
    <xf numFmtId="0" fontId="5" fillId="10" borderId="77" xfId="0" applyFont="1" applyFill="1" applyBorder="1" applyAlignment="1">
      <alignment horizontal="center" vertical="top" wrapText="1"/>
    </xf>
    <xf numFmtId="0" fontId="5" fillId="10" borderId="76" xfId="0" applyFont="1" applyFill="1" applyBorder="1" applyAlignment="1">
      <alignment horizontal="center" vertical="top" wrapText="1"/>
    </xf>
    <xf numFmtId="0" fontId="5" fillId="10" borderId="74" xfId="0" applyFont="1" applyFill="1" applyBorder="1" applyAlignment="1">
      <alignment horizontal="left" vertical="center"/>
    </xf>
    <xf numFmtId="0" fontId="5" fillId="10" borderId="55" xfId="0" applyFont="1" applyFill="1" applyBorder="1" applyAlignment="1">
      <alignment horizontal="left" vertical="center"/>
    </xf>
    <xf numFmtId="0" fontId="5" fillId="10" borderId="54" xfId="0" applyFont="1" applyFill="1" applyBorder="1" applyAlignment="1">
      <alignment horizontal="left" vertical="center" wrapText="1"/>
    </xf>
    <xf numFmtId="0" fontId="5" fillId="10" borderId="56" xfId="0" applyFont="1" applyFill="1" applyBorder="1" applyAlignment="1">
      <alignment horizontal="left" vertical="center" wrapText="1"/>
    </xf>
    <xf numFmtId="0" fontId="5" fillId="10" borderId="59" xfId="0" applyFont="1" applyFill="1" applyBorder="1" applyAlignment="1">
      <alignment horizontal="center" vertical="top" wrapText="1"/>
    </xf>
    <xf numFmtId="0" fontId="5" fillId="10" borderId="71" xfId="0" applyFont="1" applyFill="1" applyBorder="1" applyAlignment="1">
      <alignment horizontal="center" vertical="center"/>
    </xf>
    <xf numFmtId="0" fontId="5" fillId="10" borderId="72" xfId="0" applyFont="1" applyFill="1" applyBorder="1" applyAlignment="1">
      <alignment horizontal="center" vertical="center"/>
    </xf>
    <xf numFmtId="0" fontId="5" fillId="10" borderId="50" xfId="0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/>
    </xf>
    <xf numFmtId="0" fontId="5" fillId="10" borderId="0" xfId="0" applyFont="1" applyFill="1" applyAlignment="1">
      <alignment horizontal="center"/>
    </xf>
    <xf numFmtId="0" fontId="5" fillId="10" borderId="57" xfId="0" applyFont="1" applyFill="1" applyBorder="1" applyAlignment="1">
      <alignment horizontal="left" vertical="center"/>
    </xf>
    <xf numFmtId="0" fontId="5" fillId="10" borderId="73" xfId="0" applyFont="1" applyFill="1" applyBorder="1" applyAlignment="1">
      <alignment horizontal="left" vertical="center"/>
    </xf>
    <xf numFmtId="0" fontId="5" fillId="10" borderId="58" xfId="0" applyFont="1" applyFill="1" applyBorder="1" applyAlignment="1">
      <alignment horizontal="left" vertical="center"/>
    </xf>
    <xf numFmtId="168" fontId="1" fillId="0" borderId="0" xfId="8" applyNumberFormat="1" applyAlignment="1">
      <alignment horizontal="left"/>
    </xf>
    <xf numFmtId="0" fontId="1" fillId="0" borderId="18" xfId="8" applyBorder="1" applyAlignment="1">
      <alignment horizontal="center" vertical="center"/>
    </xf>
    <xf numFmtId="49" fontId="1" fillId="0" borderId="0" xfId="8" applyNumberFormat="1" applyAlignment="1" applyProtection="1">
      <alignment horizontal="left"/>
      <protection locked="0"/>
    </xf>
    <xf numFmtId="0" fontId="6" fillId="0" borderId="0" xfId="8" applyFont="1" applyAlignment="1">
      <alignment horizontal="left" vertical="center"/>
    </xf>
    <xf numFmtId="0" fontId="1" fillId="0" borderId="0" xfId="8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5" fillId="0" borderId="0" xfId="0" applyFont="1" applyAlignment="1">
      <alignment horizontal="center"/>
    </xf>
    <xf numFmtId="0" fontId="24" fillId="0" borderId="0" xfId="0" quotePrefix="1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top"/>
    </xf>
    <xf numFmtId="0" fontId="27" fillId="0" borderId="9" xfId="8" applyFont="1" applyBorder="1" applyAlignment="1">
      <alignment horizontal="center" vertical="center" wrapText="1"/>
    </xf>
    <xf numFmtId="49" fontId="1" fillId="9" borderId="10" xfId="8" applyNumberFormat="1" applyFill="1" applyBorder="1" applyAlignment="1" applyProtection="1">
      <alignment horizontal="left" vertical="top" wrapText="1"/>
      <protection locked="0"/>
    </xf>
    <xf numFmtId="49" fontId="1" fillId="9" borderId="2" xfId="8" applyNumberFormat="1" applyFill="1" applyBorder="1" applyAlignment="1" applyProtection="1">
      <alignment horizontal="left" vertical="top" wrapText="1"/>
      <protection locked="0"/>
    </xf>
    <xf numFmtId="49" fontId="1" fillId="9" borderId="12" xfId="8" applyNumberFormat="1" applyFill="1" applyBorder="1" applyAlignment="1" applyProtection="1">
      <alignment horizontal="left" vertical="top" wrapText="1"/>
      <protection locked="0"/>
    </xf>
    <xf numFmtId="168" fontId="1" fillId="0" borderId="20" xfId="8" applyNumberFormat="1" applyBorder="1" applyAlignment="1">
      <alignment horizontal="left"/>
    </xf>
    <xf numFmtId="169" fontId="1" fillId="0" borderId="20" xfId="8" applyNumberFormat="1" applyBorder="1" applyAlignment="1">
      <alignment horizontal="left"/>
    </xf>
    <xf numFmtId="0" fontId="2" fillId="0" borderId="0" xfId="8" applyFont="1" applyAlignment="1">
      <alignment horizontal="left" vertical="center"/>
    </xf>
    <xf numFmtId="0" fontId="23" fillId="0" borderId="0" xfId="8" applyFont="1" applyAlignment="1">
      <alignment horizontal="left" vertical="center" indent="1"/>
    </xf>
    <xf numFmtId="0" fontId="1" fillId="0" borderId="9" xfId="8" applyBorder="1" applyAlignment="1">
      <alignment horizontal="left" vertical="center" wrapText="1"/>
    </xf>
    <xf numFmtId="0" fontId="1" fillId="0" borderId="9" xfId="8" applyBorder="1" applyAlignment="1">
      <alignment horizontal="left" vertical="center"/>
    </xf>
    <xf numFmtId="0" fontId="20" fillId="0" borderId="0" xfId="8" applyFont="1" applyAlignment="1">
      <alignment horizontal="left" vertical="center" wrapText="1"/>
    </xf>
    <xf numFmtId="2" fontId="21" fillId="0" borderId="18" xfId="8" applyNumberFormat="1" applyFont="1" applyBorder="1" applyAlignment="1">
      <alignment horizontal="center" vertical="center"/>
    </xf>
    <xf numFmtId="0" fontId="7" fillId="0" borderId="9" xfId="8" applyFont="1" applyBorder="1" applyAlignment="1">
      <alignment horizontal="left"/>
    </xf>
    <xf numFmtId="10" fontId="7" fillId="9" borderId="9" xfId="8" applyNumberFormat="1" applyFont="1" applyFill="1" applyBorder="1" applyAlignment="1" applyProtection="1">
      <alignment horizontal="center"/>
      <protection locked="0"/>
    </xf>
    <xf numFmtId="0" fontId="6" fillId="0" borderId="9" xfId="8" applyFont="1" applyBorder="1" applyAlignment="1">
      <alignment horizontal="center" vertical="center"/>
    </xf>
    <xf numFmtId="4" fontId="6" fillId="0" borderId="9" xfId="8" applyNumberFormat="1" applyFont="1" applyBorder="1" applyAlignment="1">
      <alignment horizontal="center" vertical="center" wrapText="1"/>
    </xf>
    <xf numFmtId="0" fontId="2" fillId="0" borderId="9" xfId="8" applyFont="1" applyBorder="1" applyAlignment="1">
      <alignment horizontal="center" vertical="center"/>
    </xf>
    <xf numFmtId="0" fontId="2" fillId="0" borderId="11" xfId="11" applyFont="1" applyBorder="1" applyAlignment="1">
      <alignment horizontal="left" vertical="top"/>
    </xf>
    <xf numFmtId="0" fontId="2" fillId="0" borderId="0" xfId="11" applyFont="1" applyAlignment="1">
      <alignment horizontal="left" vertical="top"/>
    </xf>
    <xf numFmtId="0" fontId="2" fillId="0" borderId="16" xfId="11" applyFont="1" applyBorder="1" applyAlignment="1">
      <alignment horizontal="left" vertical="top"/>
    </xf>
    <xf numFmtId="164" fontId="7" fillId="9" borderId="19" xfId="12" applyFont="1" applyFill="1" applyBorder="1" applyAlignment="1" applyProtection="1">
      <alignment horizontal="left"/>
      <protection locked="0"/>
    </xf>
    <xf numFmtId="164" fontId="7" fillId="9" borderId="20" xfId="12" applyFont="1" applyFill="1" applyBorder="1" applyAlignment="1" applyProtection="1">
      <alignment horizontal="left"/>
      <protection locked="0"/>
    </xf>
    <xf numFmtId="164" fontId="7" fillId="9" borderId="28" xfId="12" applyFont="1" applyFill="1" applyBorder="1" applyAlignment="1" applyProtection="1">
      <alignment horizontal="left"/>
      <protection locked="0"/>
    </xf>
    <xf numFmtId="0" fontId="1" fillId="0" borderId="19" xfId="8" applyBorder="1" applyAlignment="1">
      <alignment horizontal="center" vertical="top" wrapText="1"/>
    </xf>
    <xf numFmtId="0" fontId="1" fillId="0" borderId="28" xfId="8" applyBorder="1" applyAlignment="1">
      <alignment horizontal="center" vertical="top" wrapText="1"/>
    </xf>
    <xf numFmtId="0" fontId="7" fillId="0" borderId="9" xfId="8" applyFont="1" applyBorder="1" applyAlignment="1">
      <alignment horizontal="left" wrapText="1"/>
    </xf>
    <xf numFmtId="0" fontId="7" fillId="0" borderId="31" xfId="12" applyNumberFormat="1" applyFont="1" applyFill="1" applyBorder="1" applyAlignment="1" applyProtection="1">
      <alignment horizontal="left" wrapText="1"/>
    </xf>
    <xf numFmtId="0" fontId="1" fillId="0" borderId="19" xfId="8" applyBorder="1" applyAlignment="1">
      <alignment horizontal="left" vertical="top" wrapText="1"/>
    </xf>
    <xf numFmtId="0" fontId="1" fillId="0" borderId="28" xfId="8" applyBorder="1" applyAlignment="1">
      <alignment horizontal="left" vertical="top" wrapText="1"/>
    </xf>
    <xf numFmtId="49" fontId="1" fillId="0" borderId="19" xfId="8" applyNumberFormat="1" applyBorder="1" applyAlignment="1">
      <alignment horizontal="left" vertical="top" wrapText="1"/>
    </xf>
    <xf numFmtId="0" fontId="1" fillId="0" borderId="20" xfId="8" applyBorder="1" applyAlignment="1">
      <alignment horizontal="left" vertical="top" wrapText="1"/>
    </xf>
  </cellXfs>
  <cellStyles count="13">
    <cellStyle name="Moeda 2" xfId="1" xr:uid="{00000000-0005-0000-0000-000000000000}"/>
    <cellStyle name="Moeda 2 2" xfId="7" xr:uid="{00000000-0005-0000-0000-000001000000}"/>
    <cellStyle name="Moeda_Composicao BDI v2.1" xfId="12" xr:uid="{00000000-0005-0000-0000-000002000000}"/>
    <cellStyle name="Normal" xfId="0" builtinId="0"/>
    <cellStyle name="Normal 2" xfId="2" xr:uid="{00000000-0005-0000-0000-000004000000}"/>
    <cellStyle name="Normal 2 2" xfId="8" xr:uid="{00000000-0005-0000-0000-000005000000}"/>
    <cellStyle name="Normal_FICHA DE VERIFICAÇÃO PRELIMINAR - Plano R" xfId="11" xr:uid="{00000000-0005-0000-0000-000006000000}"/>
    <cellStyle name="Porcentagem" xfId="3" builtinId="5"/>
    <cellStyle name="Porcentagem 2" xfId="4" xr:uid="{00000000-0005-0000-0000-000008000000}"/>
    <cellStyle name="Porcentagem 2 2" xfId="9" xr:uid="{00000000-0005-0000-0000-000009000000}"/>
    <cellStyle name="Vírgula" xfId="5" builtinId="3"/>
    <cellStyle name="Vírgula 2" xfId="6" xr:uid="{00000000-0005-0000-0000-00000B000000}"/>
    <cellStyle name="Vírgula 2 2" xfId="10" xr:uid="{00000000-0005-0000-0000-00000C000000}"/>
  </cellStyles>
  <dxfs count="9">
    <dxf>
      <fill>
        <patternFill>
          <bgColor rgb="FFFFFF9E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 patternType="none">
          <bgColor indexed="65"/>
        </patternFill>
      </fill>
    </dxf>
    <dxf>
      <fill>
        <patternFill>
          <bgColor rgb="FFFFFF9E"/>
        </patternFill>
      </fill>
    </dxf>
    <dxf>
      <font>
        <condense val="0"/>
        <extend val="0"/>
        <color indexed="17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ndense val="0"/>
        <extend val="0"/>
        <color indexed="1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b/>
        <i val="0"/>
        <color theme="1"/>
      </font>
      <fill>
        <patternFill>
          <bgColor theme="0" tint="-0.1499679555650502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15</xdr:row>
      <xdr:rowOff>0</xdr:rowOff>
    </xdr:from>
    <xdr:to>
      <xdr:col>32</xdr:col>
      <xdr:colOff>0</xdr:colOff>
      <xdr:row>15</xdr:row>
      <xdr:rowOff>0</xdr:rowOff>
    </xdr:to>
    <xdr:sp macro="" textlink="">
      <xdr:nvSpPr>
        <xdr:cNvPr id="10659" name="Oval 1">
          <a:extLst>
            <a:ext uri="{FF2B5EF4-FFF2-40B4-BE49-F238E27FC236}">
              <a16:creationId xmlns:a16="http://schemas.microsoft.com/office/drawing/2014/main" id="{00000000-0008-0000-0000-0000A3290000}"/>
            </a:ext>
          </a:extLst>
        </xdr:cNvPr>
        <xdr:cNvSpPr>
          <a:spLocks noChangeArrowheads="1"/>
        </xdr:cNvSpPr>
      </xdr:nvSpPr>
      <xdr:spPr bwMode="auto">
        <a:xfrm>
          <a:off x="8086725" y="207645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39</xdr:col>
      <xdr:colOff>0</xdr:colOff>
      <xdr:row>15</xdr:row>
      <xdr:rowOff>0</xdr:rowOff>
    </xdr:from>
    <xdr:to>
      <xdr:col>39</xdr:col>
      <xdr:colOff>0</xdr:colOff>
      <xdr:row>15</xdr:row>
      <xdr:rowOff>0</xdr:rowOff>
    </xdr:to>
    <xdr:sp macro="" textlink="">
      <xdr:nvSpPr>
        <xdr:cNvPr id="10660" name="Desenhando 59">
          <a:extLst>
            <a:ext uri="{FF2B5EF4-FFF2-40B4-BE49-F238E27FC236}">
              <a16:creationId xmlns:a16="http://schemas.microsoft.com/office/drawing/2014/main" id="{00000000-0008-0000-0000-0000A4290000}"/>
            </a:ext>
          </a:extLst>
        </xdr:cNvPr>
        <xdr:cNvSpPr>
          <a:spLocks/>
        </xdr:cNvSpPr>
      </xdr:nvSpPr>
      <xdr:spPr bwMode="auto">
        <a:xfrm>
          <a:off x="9620250" y="20764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0"/>
              </a:lnTo>
              <a:lnTo>
                <a:pt x="7490" y="16384"/>
              </a:lnTo>
              <a:lnTo>
                <a:pt x="0" y="0"/>
              </a:lnTo>
              <a:close/>
            </a:path>
          </a:pathLst>
        </a:cu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0</xdr:colOff>
      <xdr:row>15</xdr:row>
      <xdr:rowOff>0</xdr:rowOff>
    </xdr:from>
    <xdr:to>
      <xdr:col>39</xdr:col>
      <xdr:colOff>0</xdr:colOff>
      <xdr:row>15</xdr:row>
      <xdr:rowOff>0</xdr:rowOff>
    </xdr:to>
    <xdr:sp macro="" textlink="">
      <xdr:nvSpPr>
        <xdr:cNvPr id="10661" name="Rectangle 3">
          <a:extLst>
            <a:ext uri="{FF2B5EF4-FFF2-40B4-BE49-F238E27FC236}">
              <a16:creationId xmlns:a16="http://schemas.microsoft.com/office/drawing/2014/main" id="{00000000-0008-0000-0000-0000A5290000}"/>
            </a:ext>
          </a:extLst>
        </xdr:cNvPr>
        <xdr:cNvSpPr>
          <a:spLocks noChangeArrowheads="1"/>
        </xdr:cNvSpPr>
      </xdr:nvSpPr>
      <xdr:spPr bwMode="auto">
        <a:xfrm>
          <a:off x="9620250" y="2076450"/>
          <a:ext cx="0" cy="0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35719</xdr:colOff>
      <xdr:row>0</xdr:row>
      <xdr:rowOff>35719</xdr:rowOff>
    </xdr:from>
    <xdr:to>
      <xdr:col>4</xdr:col>
      <xdr:colOff>516732</xdr:colOff>
      <xdr:row>3</xdr:row>
      <xdr:rowOff>50006</xdr:rowOff>
    </xdr:to>
    <xdr:pic>
      <xdr:nvPicPr>
        <xdr:cNvPr id="6" name="Picture 47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907" y="35719"/>
          <a:ext cx="179070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8</xdr:col>
      <xdr:colOff>0</xdr:colOff>
      <xdr:row>0</xdr:row>
      <xdr:rowOff>638175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171575" y="0"/>
          <a:ext cx="1077277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/>
          <a:r>
            <a:rPr lang="pt-BR" sz="1100">
              <a:effectLst/>
              <a:latin typeface="+mn-lt"/>
              <a:ea typeface="+mn-ea"/>
              <a:cs typeface="+mn-cs"/>
            </a:rPr>
            <a:t> </a:t>
          </a:r>
          <a:endParaRPr lang="pt-BR" sz="1100" b="0" i="0" u="none" strike="noStrike" baseline="0">
            <a:solidFill>
              <a:srgbClr val="FF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28575</xdr:colOff>
      <xdr:row>0</xdr:row>
      <xdr:rowOff>19050</xdr:rowOff>
    </xdr:from>
    <xdr:to>
      <xdr:col>10</xdr:col>
      <xdr:colOff>600075</xdr:colOff>
      <xdr:row>2</xdr:row>
      <xdr:rowOff>76200</xdr:rowOff>
    </xdr:to>
    <xdr:sp macro="" textlink="">
      <xdr:nvSpPr>
        <xdr:cNvPr id="2" name="Object 476" hidden="1">
          <a:extLst>
            <a:ext uri="{63B3BB69-23CF-44E3-9099-C40C66FF867C}">
              <a14:compatExt xmlns:a14="http://schemas.microsoft.com/office/drawing/2010/main" spid="_x0000_s156124"/>
            </a:ex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 bwMode="auto">
        <a:xfrm>
          <a:off x="28575" y="19050"/>
          <a:ext cx="17907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190500</xdr:colOff>
          <xdr:row>0</xdr:row>
          <xdr:rowOff>0</xdr:rowOff>
        </xdr:from>
        <xdr:to>
          <xdr:col>18</xdr:col>
          <xdr:colOff>19050</xdr:colOff>
          <xdr:row>1</xdr:row>
          <xdr:rowOff>133350</xdr:rowOff>
        </xdr:to>
        <xdr:pic>
          <xdr:nvPicPr>
            <xdr:cNvPr id="3" name="SigiloPic">
              <a:extLs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PicPr>
              <a:picLocks noChangeArrowheads="1"/>
              <a:extLst>
                <a:ext uri="{84589F7E-364E-4C9E-8A38-B11213B215E9}">
                  <a14:cameraTool cellRange="[1]PO!$T$1:$T$2" spid="_x0000_s5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543550" y="0"/>
              <a:ext cx="1047750" cy="33337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28575</xdr:colOff>
      <xdr:row>0</xdr:row>
      <xdr:rowOff>19050</xdr:rowOff>
    </xdr:from>
    <xdr:to>
      <xdr:col>10</xdr:col>
      <xdr:colOff>600075</xdr:colOff>
      <xdr:row>2</xdr:row>
      <xdr:rowOff>76200</xdr:rowOff>
    </xdr:to>
    <xdr:pic>
      <xdr:nvPicPr>
        <xdr:cNvPr id="4" name="Picture 476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9050"/>
          <a:ext cx="17907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ENGENHARIA\Desktop\Modelo%20Planilha%20CAIXA%20-%20MO274760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OS"/>
      <sheetName val="BDI (1)"/>
      <sheetName val="PO"/>
      <sheetName val="PLQ"/>
      <sheetName val="CFF"/>
    </sheetNames>
    <sheetDataSet>
      <sheetData sheetId="0" refreshError="1">
        <row r="29">
          <cell r="A29">
            <v>0</v>
          </cell>
          <cell r="P29" t="str">
            <v xml:space="preserve">PAVIMENTAÇÃO </v>
          </cell>
        </row>
        <row r="32">
          <cell r="A32" t="str">
            <v>PREFEITURA MUNICPAL DE PAPAGAIOS</v>
          </cell>
        </row>
        <row r="56">
          <cell r="A56" t="str">
            <v>CREA/CAU:</v>
          </cell>
        </row>
        <row r="57">
          <cell r="A57" t="str">
            <v>ART/RRT:</v>
          </cell>
        </row>
      </sheetData>
      <sheetData sheetId="1" refreshError="1"/>
      <sheetData sheetId="2" refreshError="1">
        <row r="45">
          <cell r="K45" t="str">
            <v>PAPAGAIOS / MG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Y124"/>
  <sheetViews>
    <sheetView tabSelected="1" zoomScale="68" zoomScaleNormal="68" workbookViewId="0">
      <selection activeCell="AR74" sqref="AR74"/>
    </sheetView>
  </sheetViews>
  <sheetFormatPr defaultColWidth="9.140625" defaultRowHeight="12" x14ac:dyDescent="0.2"/>
  <cols>
    <col min="1" max="1" width="5.42578125" style="42" customWidth="1"/>
    <col min="2" max="2" width="7.28515625" style="42" customWidth="1"/>
    <col min="3" max="3" width="5.85546875" style="42" customWidth="1"/>
    <col min="4" max="4" width="6.42578125" style="42" customWidth="1"/>
    <col min="5" max="5" width="11.7109375" style="42" customWidth="1"/>
    <col min="6" max="6" width="4.42578125" style="42" customWidth="1"/>
    <col min="7" max="10" width="3.28515625" style="42" customWidth="1"/>
    <col min="11" max="14" width="3.28515625" style="3" customWidth="1"/>
    <col min="15" max="15" width="3.140625" style="3" customWidth="1"/>
    <col min="16" max="16" width="3.28515625" style="3" customWidth="1"/>
    <col min="17" max="17" width="25.7109375" style="3" customWidth="1"/>
    <col min="18" max="18" width="2.42578125" style="3" hidden="1" customWidth="1"/>
    <col min="19" max="19" width="3.28515625" style="3" customWidth="1"/>
    <col min="20" max="20" width="4.5703125" style="3" customWidth="1"/>
    <col min="21" max="21" width="3.28515625" style="3" customWidth="1"/>
    <col min="22" max="22" width="3.85546875" style="3" customWidth="1"/>
    <col min="23" max="23" width="9" style="3" customWidth="1"/>
    <col min="24" max="25" width="3.28515625" style="3" customWidth="1"/>
    <col min="26" max="26" width="9.5703125" style="3" customWidth="1"/>
    <col min="27" max="27" width="3.28515625" style="3" customWidth="1"/>
    <col min="28" max="28" width="2.7109375" style="3" customWidth="1"/>
    <col min="29" max="29" width="2.140625" style="3" hidden="1" customWidth="1"/>
    <col min="30" max="30" width="12.5703125" style="3" customWidth="1"/>
    <col min="31" max="32" width="3.28515625" style="3" customWidth="1"/>
    <col min="33" max="33" width="8" style="3" customWidth="1"/>
    <col min="34" max="38" width="3.28515625" style="3" customWidth="1"/>
    <col min="39" max="39" width="10.28515625" style="3" customWidth="1"/>
    <col min="40" max="40" width="4.85546875" style="3" hidden="1" customWidth="1"/>
    <col min="41" max="41" width="3.28515625" style="3" customWidth="1"/>
    <col min="42" max="42" width="11.28515625" style="3" customWidth="1"/>
    <col min="43" max="43" width="3.28515625" style="3" customWidth="1"/>
    <col min="44" max="44" width="11" style="3" bestFit="1" customWidth="1"/>
    <col min="45" max="45" width="6.85546875" style="3" customWidth="1"/>
    <col min="46" max="46" width="4.42578125" style="4" customWidth="1"/>
    <col min="47" max="47" width="7.140625" style="3" customWidth="1"/>
    <col min="48" max="48" width="3.28515625" style="3" customWidth="1"/>
    <col min="49" max="49" width="11.5703125" style="3" customWidth="1"/>
    <col min="50" max="55" width="3.28515625" style="3" customWidth="1"/>
    <col min="56" max="16384" width="9.140625" style="3"/>
  </cols>
  <sheetData>
    <row r="1" spans="1:46" ht="6.75" customHeight="1" x14ac:dyDescent="0.2">
      <c r="A1" s="81"/>
      <c r="B1" s="82"/>
      <c r="C1" s="82"/>
      <c r="D1" s="82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4"/>
    </row>
    <row r="2" spans="1:46" ht="12.75" customHeight="1" x14ac:dyDescent="0.2">
      <c r="A2" s="331" t="s">
        <v>9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  <c r="T2" s="332"/>
      <c r="U2" s="332"/>
      <c r="V2" s="332"/>
      <c r="W2" s="332"/>
      <c r="X2" s="332"/>
      <c r="Y2" s="332"/>
      <c r="Z2" s="332"/>
      <c r="AA2" s="332"/>
      <c r="AB2" s="332"/>
      <c r="AC2" s="332"/>
      <c r="AD2" s="332"/>
      <c r="AE2" s="332"/>
      <c r="AF2" s="332"/>
      <c r="AG2" s="332"/>
      <c r="AH2" s="332"/>
      <c r="AI2" s="332"/>
      <c r="AJ2" s="332"/>
      <c r="AK2" s="332"/>
      <c r="AL2" s="332"/>
      <c r="AM2" s="333"/>
    </row>
    <row r="3" spans="1:46" ht="12" customHeight="1" x14ac:dyDescent="0.2">
      <c r="A3" s="331"/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332"/>
      <c r="U3" s="332"/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  <c r="AJ3" s="332"/>
      <c r="AK3" s="332"/>
      <c r="AL3" s="332"/>
      <c r="AM3" s="333"/>
    </row>
    <row r="4" spans="1:46" ht="4.5" customHeight="1" x14ac:dyDescent="0.2">
      <c r="A4" s="85"/>
      <c r="B4" s="2"/>
      <c r="C4" s="2"/>
      <c r="D4" s="2"/>
      <c r="E4" s="2"/>
      <c r="F4" s="2"/>
      <c r="G4" s="2"/>
      <c r="H4" s="86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87"/>
    </row>
    <row r="5" spans="1:46" ht="13.5" customHeight="1" x14ac:dyDescent="0.2">
      <c r="A5" s="334"/>
      <c r="B5" s="335"/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5"/>
      <c r="N5" s="335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47"/>
      <c r="Z5" s="47"/>
      <c r="AA5" s="47"/>
      <c r="AB5" s="47"/>
      <c r="AC5" s="47"/>
      <c r="AD5" s="336"/>
      <c r="AE5" s="336"/>
      <c r="AF5" s="336"/>
      <c r="AG5" s="336"/>
      <c r="AH5" s="336"/>
      <c r="AI5" s="336"/>
      <c r="AJ5" s="336"/>
      <c r="AK5" s="336"/>
      <c r="AL5" s="336"/>
      <c r="AM5" s="337"/>
    </row>
    <row r="6" spans="1:46" ht="5.25" customHeight="1" x14ac:dyDescent="0.2">
      <c r="A6" s="88"/>
      <c r="B6" s="5"/>
      <c r="C6" s="5"/>
      <c r="D6" s="5"/>
      <c r="E6" s="5"/>
      <c r="F6" s="5"/>
      <c r="G6" s="5"/>
      <c r="H6" s="5"/>
      <c r="I6" s="5"/>
      <c r="J6" s="5"/>
      <c r="K6" s="10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87"/>
    </row>
    <row r="7" spans="1:46" ht="12" customHeight="1" x14ac:dyDescent="0.2">
      <c r="A7" s="89" t="s">
        <v>10</v>
      </c>
      <c r="B7" s="1"/>
      <c r="C7" s="1"/>
      <c r="D7" s="1"/>
      <c r="E7" s="1"/>
      <c r="F7" s="1"/>
      <c r="G7" s="1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1"/>
      <c r="X7" s="1"/>
      <c r="Y7" s="1"/>
      <c r="Z7" s="1"/>
      <c r="AA7" s="1"/>
      <c r="AB7" s="2"/>
      <c r="AC7" s="2"/>
      <c r="AD7" s="6" t="s">
        <v>11</v>
      </c>
      <c r="AE7" s="2"/>
      <c r="AF7" s="2"/>
      <c r="AG7" s="2"/>
      <c r="AH7" s="2"/>
      <c r="AI7" s="2"/>
      <c r="AJ7" s="2"/>
      <c r="AK7" s="2"/>
      <c r="AL7" s="2"/>
      <c r="AM7" s="87"/>
    </row>
    <row r="8" spans="1:46" ht="14.1" customHeight="1" x14ac:dyDescent="0.2">
      <c r="A8" s="338" t="s">
        <v>65</v>
      </c>
      <c r="B8" s="339"/>
      <c r="C8" s="339"/>
      <c r="D8" s="339"/>
      <c r="E8" s="339"/>
      <c r="F8" s="339"/>
      <c r="G8" s="339"/>
      <c r="H8" s="339"/>
      <c r="I8" s="339"/>
      <c r="J8" s="339"/>
      <c r="K8" s="339"/>
      <c r="L8" s="339"/>
      <c r="M8" s="339"/>
      <c r="N8" s="339"/>
      <c r="O8" s="339"/>
      <c r="P8" s="339"/>
      <c r="Q8" s="339"/>
      <c r="R8" s="339"/>
      <c r="S8" s="339"/>
      <c r="T8" s="339"/>
      <c r="U8" s="339"/>
      <c r="V8" s="339"/>
      <c r="W8" s="339"/>
      <c r="X8" s="339"/>
      <c r="Y8" s="339"/>
      <c r="Z8" s="339"/>
      <c r="AA8" s="339"/>
      <c r="AB8" s="339"/>
      <c r="AC8" s="340"/>
      <c r="AD8" s="341" t="s">
        <v>146</v>
      </c>
      <c r="AE8" s="342"/>
      <c r="AF8" s="342"/>
      <c r="AG8" s="342"/>
      <c r="AH8" s="342"/>
      <c r="AI8" s="342"/>
      <c r="AJ8" s="342"/>
      <c r="AK8" s="342"/>
      <c r="AL8" s="342"/>
      <c r="AM8" s="343"/>
    </row>
    <row r="9" spans="1:46" s="8" customFormat="1" ht="5.25" customHeight="1" x14ac:dyDescent="0.2">
      <c r="A9" s="90"/>
      <c r="B9" s="7"/>
      <c r="C9" s="7"/>
      <c r="D9" s="7"/>
      <c r="E9" s="7"/>
      <c r="F9" s="7"/>
      <c r="G9" s="7"/>
      <c r="H9" s="7"/>
      <c r="I9" s="7"/>
      <c r="J9" s="7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91"/>
      <c r="AT9" s="9"/>
    </row>
    <row r="10" spans="1:46" ht="12" customHeight="1" x14ac:dyDescent="0.2">
      <c r="A10" s="89" t="s">
        <v>12</v>
      </c>
      <c r="B10" s="1"/>
      <c r="C10" s="1"/>
      <c r="D10" s="1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6" t="s">
        <v>13</v>
      </c>
      <c r="X10" s="2"/>
      <c r="Y10" s="1"/>
      <c r="Z10" s="1"/>
      <c r="AA10" s="1"/>
      <c r="AB10" s="1"/>
      <c r="AC10" s="1"/>
      <c r="AD10" s="2"/>
      <c r="AE10" s="1"/>
      <c r="AF10" s="10"/>
      <c r="AG10" s="2"/>
      <c r="AH10" s="2"/>
      <c r="AI10" s="2"/>
      <c r="AJ10" s="2"/>
      <c r="AK10" s="79"/>
      <c r="AL10" s="11" t="s">
        <v>14</v>
      </c>
      <c r="AM10" s="92"/>
    </row>
    <row r="11" spans="1:46" ht="34.5" customHeight="1" x14ac:dyDescent="0.2">
      <c r="A11" s="344" t="s">
        <v>177</v>
      </c>
      <c r="B11" s="345"/>
      <c r="C11" s="345"/>
      <c r="D11" s="345"/>
      <c r="E11" s="345"/>
      <c r="F11" s="345"/>
      <c r="G11" s="345"/>
      <c r="H11" s="345"/>
      <c r="I11" s="345"/>
      <c r="J11" s="345"/>
      <c r="K11" s="345"/>
      <c r="L11" s="345"/>
      <c r="M11" s="345"/>
      <c r="N11" s="345"/>
      <c r="O11" s="345"/>
      <c r="P11" s="345"/>
      <c r="Q11" s="345"/>
      <c r="R11" s="345"/>
      <c r="S11" s="345"/>
      <c r="T11" s="345"/>
      <c r="U11" s="345"/>
      <c r="V11" s="346"/>
      <c r="W11" s="347" t="s">
        <v>63</v>
      </c>
      <c r="X11" s="339"/>
      <c r="Y11" s="339"/>
      <c r="Z11" s="339"/>
      <c r="AA11" s="339"/>
      <c r="AB11" s="339"/>
      <c r="AC11" s="339"/>
      <c r="AD11" s="339"/>
      <c r="AE11" s="339"/>
      <c r="AF11" s="339"/>
      <c r="AG11" s="339"/>
      <c r="AH11" s="339"/>
      <c r="AI11" s="339"/>
      <c r="AJ11" s="339"/>
      <c r="AK11" s="340"/>
      <c r="AL11" s="348" t="s">
        <v>15</v>
      </c>
      <c r="AM11" s="349"/>
    </row>
    <row r="12" spans="1:46" s="8" customFormat="1" ht="6.75" customHeight="1" x14ac:dyDescent="0.2">
      <c r="A12" s="90"/>
      <c r="B12" s="7"/>
      <c r="C12" s="7"/>
      <c r="D12" s="7"/>
      <c r="E12" s="7"/>
      <c r="F12" s="7"/>
      <c r="G12" s="7"/>
      <c r="H12" s="7"/>
      <c r="I12" s="7"/>
      <c r="J12" s="7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2"/>
      <c r="AL12" s="2"/>
      <c r="AM12" s="87"/>
      <c r="AT12" s="9"/>
    </row>
    <row r="13" spans="1:46" ht="12" customHeight="1" x14ac:dyDescent="0.2">
      <c r="A13" s="85" t="s">
        <v>16</v>
      </c>
      <c r="B13" s="2"/>
      <c r="C13" s="2"/>
      <c r="D13" s="2"/>
      <c r="E13" s="1"/>
      <c r="F13" s="1"/>
      <c r="G13" s="1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6" t="s">
        <v>17</v>
      </c>
      <c r="X13" s="2"/>
      <c r="Y13" s="2"/>
      <c r="Z13" s="1"/>
      <c r="AA13" s="2"/>
      <c r="AB13" s="2"/>
      <c r="AC13" s="2"/>
      <c r="AD13" s="2"/>
      <c r="AE13" s="2"/>
      <c r="AF13" s="6" t="s">
        <v>18</v>
      </c>
      <c r="AG13" s="2"/>
      <c r="AH13" s="2"/>
      <c r="AI13" s="1"/>
      <c r="AJ13" s="2"/>
      <c r="AK13" s="2"/>
      <c r="AL13" s="2"/>
      <c r="AM13" s="87"/>
    </row>
    <row r="14" spans="1:46" ht="21" customHeight="1" x14ac:dyDescent="0.2">
      <c r="A14" s="367" t="s">
        <v>197</v>
      </c>
      <c r="B14" s="368"/>
      <c r="C14" s="368"/>
      <c r="D14" s="368"/>
      <c r="E14" s="368"/>
      <c r="F14" s="368"/>
      <c r="G14" s="368"/>
      <c r="H14" s="368"/>
      <c r="I14" s="368"/>
      <c r="J14" s="368"/>
      <c r="K14" s="368"/>
      <c r="L14" s="368"/>
      <c r="M14" s="368"/>
      <c r="N14" s="368"/>
      <c r="O14" s="368"/>
      <c r="P14" s="368"/>
      <c r="Q14" s="368"/>
      <c r="R14" s="368"/>
      <c r="S14" s="368"/>
      <c r="T14" s="368"/>
      <c r="U14" s="368"/>
      <c r="V14" s="369"/>
      <c r="W14" s="370" t="s">
        <v>198</v>
      </c>
      <c r="X14" s="371"/>
      <c r="Y14" s="371"/>
      <c r="Z14" s="371"/>
      <c r="AA14" s="371"/>
      <c r="AB14" s="371"/>
      <c r="AC14" s="371"/>
      <c r="AD14" s="371"/>
      <c r="AE14" s="372"/>
      <c r="AF14" s="373" t="s">
        <v>222</v>
      </c>
      <c r="AG14" s="374"/>
      <c r="AH14" s="374"/>
      <c r="AI14" s="374"/>
      <c r="AJ14" s="374"/>
      <c r="AK14" s="374"/>
      <c r="AL14" s="374"/>
      <c r="AM14" s="375"/>
    </row>
    <row r="15" spans="1:46" ht="6" customHeight="1" x14ac:dyDescent="0.2">
      <c r="A15" s="93"/>
      <c r="B15" s="74"/>
      <c r="C15" s="74"/>
      <c r="D15" s="74"/>
      <c r="E15" s="74"/>
      <c r="F15" s="74"/>
      <c r="G15" s="74"/>
      <c r="H15" s="74"/>
      <c r="I15" s="74"/>
      <c r="J15" s="74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94"/>
    </row>
    <row r="16" spans="1:46" ht="11.25" customHeight="1" x14ac:dyDescent="0.2">
      <c r="A16" s="95" t="s">
        <v>19</v>
      </c>
      <c r="B16" s="76"/>
      <c r="C16" s="76"/>
      <c r="D16" s="76"/>
      <c r="E16" s="76"/>
      <c r="F16" s="78" t="s">
        <v>122</v>
      </c>
      <c r="G16" s="76"/>
      <c r="H16" s="76"/>
      <c r="I16" s="76"/>
      <c r="J16" s="76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96"/>
      <c r="AN16" s="13" t="b">
        <v>0</v>
      </c>
    </row>
    <row r="17" spans="1:51" ht="6.75" customHeight="1" x14ac:dyDescent="0.2">
      <c r="A17" s="89"/>
      <c r="B17" s="1"/>
      <c r="C17" s="1"/>
      <c r="D17" s="1"/>
      <c r="E17" s="1"/>
      <c r="F17" s="1"/>
      <c r="G17" s="1"/>
      <c r="H17" s="1"/>
      <c r="I17" s="1"/>
      <c r="J17" s="1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87"/>
    </row>
    <row r="18" spans="1:51" ht="12.6" customHeight="1" x14ac:dyDescent="0.2">
      <c r="A18" s="414"/>
      <c r="B18" s="415"/>
      <c r="C18" s="415"/>
      <c r="D18" s="415"/>
      <c r="E18" s="415"/>
      <c r="F18" s="415"/>
      <c r="G18" s="415"/>
      <c r="H18" s="415"/>
      <c r="I18" s="415"/>
      <c r="J18" s="415"/>
      <c r="K18" s="415"/>
      <c r="L18" s="415"/>
      <c r="M18" s="415"/>
      <c r="N18" s="415"/>
      <c r="O18" s="416"/>
      <c r="P18" s="376" t="s">
        <v>20</v>
      </c>
      <c r="Q18" s="377"/>
      <c r="R18" s="377"/>
      <c r="S18" s="377"/>
      <c r="T18" s="377"/>
      <c r="U18" s="377"/>
      <c r="V18" s="377"/>
      <c r="W18" s="377"/>
      <c r="X18" s="380" t="s">
        <v>21</v>
      </c>
      <c r="Y18" s="381"/>
      <c r="Z18" s="381"/>
      <c r="AA18" s="381"/>
      <c r="AB18" s="381"/>
      <c r="AC18" s="381"/>
      <c r="AD18" s="381"/>
      <c r="AE18" s="381"/>
      <c r="AF18" s="381"/>
      <c r="AG18" s="381"/>
      <c r="AH18" s="382"/>
      <c r="AI18" s="386">
        <v>0.23630000000000001</v>
      </c>
      <c r="AJ18" s="387"/>
      <c r="AK18" s="387"/>
      <c r="AL18" s="387"/>
      <c r="AM18" s="388"/>
    </row>
    <row r="19" spans="1:51" ht="12.6" customHeight="1" x14ac:dyDescent="0.2">
      <c r="A19" s="417"/>
      <c r="B19" s="418"/>
      <c r="C19" s="418"/>
      <c r="D19" s="418"/>
      <c r="E19" s="418"/>
      <c r="F19" s="418"/>
      <c r="G19" s="418"/>
      <c r="H19" s="418"/>
      <c r="I19" s="418"/>
      <c r="J19" s="418"/>
      <c r="K19" s="418"/>
      <c r="L19" s="418"/>
      <c r="M19" s="418"/>
      <c r="N19" s="418"/>
      <c r="O19" s="419"/>
      <c r="P19" s="378"/>
      <c r="Q19" s="379"/>
      <c r="R19" s="379"/>
      <c r="S19" s="379"/>
      <c r="T19" s="379"/>
      <c r="U19" s="379"/>
      <c r="V19" s="379"/>
      <c r="W19" s="379"/>
      <c r="X19" s="383"/>
      <c r="Y19" s="384"/>
      <c r="Z19" s="384"/>
      <c r="AA19" s="384"/>
      <c r="AB19" s="384"/>
      <c r="AC19" s="384"/>
      <c r="AD19" s="384"/>
      <c r="AE19" s="384"/>
      <c r="AF19" s="384"/>
      <c r="AG19" s="384"/>
      <c r="AH19" s="385"/>
      <c r="AI19" s="389"/>
      <c r="AJ19" s="390"/>
      <c r="AK19" s="390"/>
      <c r="AL19" s="390"/>
      <c r="AM19" s="391"/>
    </row>
    <row r="20" spans="1:51" ht="17.25" hidden="1" customHeight="1" x14ac:dyDescent="0.2">
      <c r="A20" s="97" t="s">
        <v>22</v>
      </c>
      <c r="B20" s="14"/>
      <c r="C20" s="14"/>
      <c r="D20" s="14"/>
      <c r="E20" s="14"/>
      <c r="F20" s="14"/>
      <c r="G20" s="14"/>
      <c r="H20" s="14"/>
      <c r="I20" s="14"/>
      <c r="J20" s="15" t="s">
        <v>23</v>
      </c>
      <c r="K20" s="360">
        <v>3.2000000000000002E-3</v>
      </c>
      <c r="L20" s="360"/>
      <c r="M20" s="16" t="s">
        <v>24</v>
      </c>
      <c r="N20" s="360">
        <v>7.4000000000000003E-3</v>
      </c>
      <c r="O20" s="361"/>
      <c r="P20" s="17" t="s">
        <v>25</v>
      </c>
      <c r="Q20" s="18"/>
      <c r="R20" s="18"/>
      <c r="S20" s="18"/>
      <c r="T20" s="18"/>
      <c r="U20" s="18"/>
      <c r="V20" s="362">
        <v>7.1999999999999998E-3</v>
      </c>
      <c r="W20" s="363"/>
      <c r="X20" s="350" t="s">
        <v>64</v>
      </c>
      <c r="Y20" s="350"/>
      <c r="Z20" s="350"/>
      <c r="AA20" s="350"/>
      <c r="AB20" s="350"/>
      <c r="AC20" s="350"/>
      <c r="AD20" s="350"/>
      <c r="AE20" s="350"/>
      <c r="AF20" s="350"/>
      <c r="AG20" s="350"/>
      <c r="AH20" s="350"/>
      <c r="AI20" s="350"/>
      <c r="AJ20" s="350"/>
      <c r="AK20" s="350"/>
      <c r="AL20" s="350"/>
      <c r="AM20" s="351"/>
      <c r="AR20" s="4"/>
      <c r="AT20" s="3"/>
    </row>
    <row r="21" spans="1:51" ht="17.25" hidden="1" customHeight="1" x14ac:dyDescent="0.2">
      <c r="A21" s="98" t="s">
        <v>26</v>
      </c>
      <c r="B21" s="19"/>
      <c r="C21" s="19"/>
      <c r="D21" s="19"/>
      <c r="E21" s="19"/>
      <c r="F21" s="19"/>
      <c r="G21" s="19"/>
      <c r="H21" s="19"/>
      <c r="I21" s="19"/>
      <c r="J21" s="20" t="s">
        <v>23</v>
      </c>
      <c r="K21" s="356">
        <v>5.0000000000000001E-3</v>
      </c>
      <c r="L21" s="356"/>
      <c r="M21" s="21" t="s">
        <v>24</v>
      </c>
      <c r="N21" s="356">
        <v>9.7000000000000003E-3</v>
      </c>
      <c r="O21" s="357"/>
      <c r="P21" s="22" t="s">
        <v>27</v>
      </c>
      <c r="Q21" s="23"/>
      <c r="R21" s="23"/>
      <c r="S21" s="23"/>
      <c r="T21" s="23"/>
      <c r="U21" s="23"/>
      <c r="V21" s="358">
        <v>9.5999999999999992E-3</v>
      </c>
      <c r="W21" s="359"/>
      <c r="X21" s="352"/>
      <c r="Y21" s="352"/>
      <c r="Z21" s="352"/>
      <c r="AA21" s="352"/>
      <c r="AB21" s="352"/>
      <c r="AC21" s="352"/>
      <c r="AD21" s="352"/>
      <c r="AE21" s="352"/>
      <c r="AF21" s="352"/>
      <c r="AG21" s="352"/>
      <c r="AH21" s="352"/>
      <c r="AI21" s="352"/>
      <c r="AJ21" s="352"/>
      <c r="AK21" s="352"/>
      <c r="AL21" s="352"/>
      <c r="AM21" s="353"/>
      <c r="AR21" s="4"/>
      <c r="AT21" s="3"/>
    </row>
    <row r="22" spans="1:51" ht="17.25" hidden="1" customHeight="1" x14ac:dyDescent="0.2">
      <c r="A22" s="98" t="s">
        <v>28</v>
      </c>
      <c r="B22" s="19"/>
      <c r="C22" s="19"/>
      <c r="D22" s="19"/>
      <c r="E22" s="19"/>
      <c r="F22" s="19"/>
      <c r="G22" s="19"/>
      <c r="H22" s="19"/>
      <c r="I22" s="19"/>
      <c r="J22" s="20" t="s">
        <v>23</v>
      </c>
      <c r="K22" s="356">
        <v>1.0200000000000001E-2</v>
      </c>
      <c r="L22" s="356"/>
      <c r="M22" s="21" t="s">
        <v>24</v>
      </c>
      <c r="N22" s="356">
        <v>1.21E-2</v>
      </c>
      <c r="O22" s="357"/>
      <c r="P22" s="22" t="s">
        <v>29</v>
      </c>
      <c r="Q22" s="23"/>
      <c r="R22" s="23"/>
      <c r="S22" s="23"/>
      <c r="T22" s="23"/>
      <c r="U22" s="23"/>
      <c r="V22" s="358">
        <v>1.21E-2</v>
      </c>
      <c r="W22" s="359"/>
      <c r="X22" s="352"/>
      <c r="Y22" s="352"/>
      <c r="Z22" s="352"/>
      <c r="AA22" s="352"/>
      <c r="AB22" s="352"/>
      <c r="AC22" s="352"/>
      <c r="AD22" s="352"/>
      <c r="AE22" s="352"/>
      <c r="AF22" s="352"/>
      <c r="AG22" s="352"/>
      <c r="AH22" s="352"/>
      <c r="AI22" s="352"/>
      <c r="AJ22" s="352"/>
      <c r="AK22" s="352"/>
      <c r="AL22" s="352"/>
      <c r="AM22" s="353"/>
      <c r="AR22" s="4"/>
      <c r="AT22" s="3"/>
    </row>
    <row r="23" spans="1:51" ht="17.25" hidden="1" customHeight="1" x14ac:dyDescent="0.2">
      <c r="A23" s="98" t="s">
        <v>30</v>
      </c>
      <c r="B23" s="19"/>
      <c r="C23" s="19"/>
      <c r="D23" s="19"/>
      <c r="E23" s="19"/>
      <c r="F23" s="19"/>
      <c r="G23" s="19"/>
      <c r="H23" s="19"/>
      <c r="I23" s="19"/>
      <c r="J23" s="20" t="s">
        <v>23</v>
      </c>
      <c r="K23" s="356">
        <v>3.7999999999999999E-2</v>
      </c>
      <c r="L23" s="356"/>
      <c r="M23" s="21" t="s">
        <v>24</v>
      </c>
      <c r="N23" s="356">
        <v>4.6699999999999998E-2</v>
      </c>
      <c r="O23" s="357"/>
      <c r="P23" s="22" t="s">
        <v>31</v>
      </c>
      <c r="Q23" s="23"/>
      <c r="R23" s="23"/>
      <c r="S23" s="23"/>
      <c r="T23" s="23"/>
      <c r="U23" s="23"/>
      <c r="V23" s="358">
        <v>4.6699999999999998E-2</v>
      </c>
      <c r="W23" s="359"/>
      <c r="X23" s="352"/>
      <c r="Y23" s="352"/>
      <c r="Z23" s="352"/>
      <c r="AA23" s="352"/>
      <c r="AB23" s="352"/>
      <c r="AC23" s="352"/>
      <c r="AD23" s="352"/>
      <c r="AE23" s="352"/>
      <c r="AF23" s="352"/>
      <c r="AG23" s="352"/>
      <c r="AH23" s="352"/>
      <c r="AI23" s="352"/>
      <c r="AJ23" s="352"/>
      <c r="AK23" s="352"/>
      <c r="AL23" s="352"/>
      <c r="AM23" s="353"/>
      <c r="AR23" s="4"/>
      <c r="AT23" s="3"/>
    </row>
    <row r="24" spans="1:51" ht="17.25" hidden="1" customHeight="1" x14ac:dyDescent="0.2">
      <c r="A24" s="98" t="s">
        <v>32</v>
      </c>
      <c r="B24" s="19"/>
      <c r="C24" s="19"/>
      <c r="D24" s="19"/>
      <c r="E24" s="19"/>
      <c r="F24" s="19"/>
      <c r="G24" s="19"/>
      <c r="H24" s="19"/>
      <c r="I24" s="19"/>
      <c r="J24" s="20" t="s">
        <v>23</v>
      </c>
      <c r="K24" s="356">
        <v>6.6400000000000001E-2</v>
      </c>
      <c r="L24" s="356"/>
      <c r="M24" s="21" t="s">
        <v>24</v>
      </c>
      <c r="N24" s="356">
        <v>8.6900000000000005E-2</v>
      </c>
      <c r="O24" s="357"/>
      <c r="P24" s="22" t="s">
        <v>33</v>
      </c>
      <c r="Q24" s="23"/>
      <c r="R24" s="23"/>
      <c r="S24" s="23"/>
      <c r="T24" s="23"/>
      <c r="U24" s="23"/>
      <c r="V24" s="358">
        <v>8.6900000000000005E-2</v>
      </c>
      <c r="W24" s="359"/>
      <c r="X24" s="352"/>
      <c r="Y24" s="352"/>
      <c r="Z24" s="352"/>
      <c r="AA24" s="352"/>
      <c r="AB24" s="352"/>
      <c r="AC24" s="352"/>
      <c r="AD24" s="352"/>
      <c r="AE24" s="352"/>
      <c r="AF24" s="352"/>
      <c r="AG24" s="352"/>
      <c r="AH24" s="352"/>
      <c r="AI24" s="352"/>
      <c r="AJ24" s="352"/>
      <c r="AK24" s="352"/>
      <c r="AL24" s="352"/>
      <c r="AM24" s="353"/>
      <c r="AT24" s="3"/>
    </row>
    <row r="25" spans="1:51" ht="17.25" hidden="1" customHeight="1" x14ac:dyDescent="0.2">
      <c r="A25" s="99" t="s">
        <v>34</v>
      </c>
      <c r="B25" s="24"/>
      <c r="C25" s="45" t="s">
        <v>44</v>
      </c>
      <c r="D25" s="45" t="s">
        <v>47</v>
      </c>
      <c r="E25" s="25" t="s">
        <v>48</v>
      </c>
      <c r="F25" s="46">
        <v>0.02</v>
      </c>
      <c r="G25" s="24"/>
      <c r="H25" s="24"/>
      <c r="I25" s="24"/>
      <c r="J25" s="300">
        <v>7.6499999999999999E-2</v>
      </c>
      <c r="K25" s="301"/>
      <c r="L25" s="301"/>
      <c r="M25" s="301"/>
      <c r="N25" s="301"/>
      <c r="O25" s="302"/>
      <c r="P25" s="26" t="s">
        <v>35</v>
      </c>
      <c r="Q25" s="27"/>
      <c r="R25" s="27"/>
      <c r="S25" s="27"/>
      <c r="T25" s="27"/>
      <c r="U25" s="27"/>
      <c r="V25" s="303">
        <v>7.6499999999999999E-2</v>
      </c>
      <c r="W25" s="304"/>
      <c r="X25" s="354"/>
      <c r="Y25" s="354"/>
      <c r="Z25" s="354"/>
      <c r="AA25" s="354"/>
      <c r="AB25" s="354"/>
      <c r="AC25" s="354"/>
      <c r="AD25" s="354"/>
      <c r="AE25" s="354"/>
      <c r="AF25" s="354"/>
      <c r="AG25" s="354"/>
      <c r="AH25" s="354"/>
      <c r="AI25" s="354"/>
      <c r="AJ25" s="354"/>
      <c r="AK25" s="354"/>
      <c r="AL25" s="354"/>
      <c r="AM25" s="355"/>
      <c r="AT25" s="3"/>
    </row>
    <row r="26" spans="1:51" ht="6" customHeight="1" x14ac:dyDescent="0.2">
      <c r="A26" s="89"/>
      <c r="B26" s="1"/>
      <c r="C26" s="1"/>
      <c r="D26" s="1"/>
      <c r="E26" s="1"/>
      <c r="F26" s="1"/>
      <c r="G26" s="1"/>
      <c r="H26" s="1"/>
      <c r="I26" s="1"/>
      <c r="J26" s="1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87"/>
    </row>
    <row r="27" spans="1:51" ht="12" customHeight="1" x14ac:dyDescent="0.2">
      <c r="A27" s="392" t="s">
        <v>0</v>
      </c>
      <c r="B27" s="28"/>
      <c r="C27" s="29"/>
      <c r="D27" s="30"/>
      <c r="E27" s="29"/>
      <c r="F27" s="376" t="s">
        <v>36</v>
      </c>
      <c r="G27" s="377"/>
      <c r="H27" s="377"/>
      <c r="I27" s="377"/>
      <c r="J27" s="377"/>
      <c r="K27" s="377"/>
      <c r="L27" s="377"/>
      <c r="M27" s="377"/>
      <c r="N27" s="377"/>
      <c r="O27" s="377"/>
      <c r="P27" s="377"/>
      <c r="Q27" s="377"/>
      <c r="R27" s="395"/>
      <c r="S27" s="400" t="s">
        <v>37</v>
      </c>
      <c r="T27" s="401"/>
      <c r="U27" s="404" t="s">
        <v>38</v>
      </c>
      <c r="V27" s="405"/>
      <c r="W27" s="406"/>
      <c r="X27" s="413" t="s">
        <v>39</v>
      </c>
      <c r="Y27" s="324"/>
      <c r="Z27" s="324"/>
      <c r="AA27" s="324"/>
      <c r="AB27" s="324"/>
      <c r="AC27" s="324"/>
      <c r="AD27" s="324"/>
      <c r="AE27" s="324"/>
      <c r="AF27" s="324"/>
      <c r="AG27" s="324"/>
      <c r="AH27" s="324"/>
      <c r="AI27" s="324"/>
      <c r="AJ27" s="324"/>
      <c r="AK27" s="324"/>
      <c r="AL27" s="324"/>
      <c r="AM27" s="325"/>
      <c r="AR27" s="364" t="s">
        <v>40</v>
      </c>
      <c r="AS27" s="364"/>
    </row>
    <row r="28" spans="1:51" ht="12" customHeight="1" x14ac:dyDescent="0.2">
      <c r="A28" s="393"/>
      <c r="B28" s="32" t="s">
        <v>1</v>
      </c>
      <c r="C28" s="33"/>
      <c r="D28" s="420" t="s">
        <v>41</v>
      </c>
      <c r="E28" s="421"/>
      <c r="F28" s="396"/>
      <c r="G28" s="397"/>
      <c r="H28" s="397"/>
      <c r="I28" s="397"/>
      <c r="J28" s="397"/>
      <c r="K28" s="397"/>
      <c r="L28" s="397"/>
      <c r="M28" s="397"/>
      <c r="N28" s="397"/>
      <c r="O28" s="397"/>
      <c r="P28" s="397"/>
      <c r="Q28" s="397"/>
      <c r="R28" s="398"/>
      <c r="S28" s="402"/>
      <c r="T28" s="403"/>
      <c r="U28" s="407"/>
      <c r="V28" s="408"/>
      <c r="W28" s="409"/>
      <c r="X28" s="413" t="s">
        <v>42</v>
      </c>
      <c r="Y28" s="324"/>
      <c r="Z28" s="324"/>
      <c r="AA28" s="324"/>
      <c r="AB28" s="324"/>
      <c r="AC28" s="324"/>
      <c r="AD28" s="324"/>
      <c r="AE28" s="323" t="s">
        <v>43</v>
      </c>
      <c r="AF28" s="324"/>
      <c r="AG28" s="324"/>
      <c r="AH28" s="324"/>
      <c r="AI28" s="324"/>
      <c r="AJ28" s="324"/>
      <c r="AK28" s="324"/>
      <c r="AL28" s="324"/>
      <c r="AM28" s="325"/>
      <c r="AR28" s="31" t="s">
        <v>44</v>
      </c>
      <c r="AS28" s="34">
        <v>0.02</v>
      </c>
    </row>
    <row r="29" spans="1:51" ht="12" customHeight="1" x14ac:dyDescent="0.2">
      <c r="A29" s="394"/>
      <c r="B29" s="35"/>
      <c r="C29" s="36"/>
      <c r="D29" s="37"/>
      <c r="E29" s="36"/>
      <c r="F29" s="378"/>
      <c r="G29" s="379"/>
      <c r="H29" s="379"/>
      <c r="I29" s="379"/>
      <c r="J29" s="379"/>
      <c r="K29" s="379"/>
      <c r="L29" s="379"/>
      <c r="M29" s="379"/>
      <c r="N29" s="379"/>
      <c r="O29" s="379"/>
      <c r="P29" s="379"/>
      <c r="Q29" s="379"/>
      <c r="R29" s="399"/>
      <c r="S29" s="326"/>
      <c r="T29" s="328"/>
      <c r="U29" s="410"/>
      <c r="V29" s="411"/>
      <c r="W29" s="412"/>
      <c r="X29" s="326" t="s">
        <v>45</v>
      </c>
      <c r="Y29" s="327"/>
      <c r="Z29" s="328"/>
      <c r="AA29" s="326" t="s">
        <v>46</v>
      </c>
      <c r="AB29" s="327"/>
      <c r="AC29" s="327"/>
      <c r="AD29" s="327"/>
      <c r="AE29" s="329" t="s">
        <v>45</v>
      </c>
      <c r="AF29" s="327"/>
      <c r="AG29" s="328"/>
      <c r="AH29" s="326" t="s">
        <v>46</v>
      </c>
      <c r="AI29" s="327"/>
      <c r="AJ29" s="327"/>
      <c r="AK29" s="327"/>
      <c r="AL29" s="327"/>
      <c r="AM29" s="330"/>
      <c r="AR29" s="31" t="s">
        <v>47</v>
      </c>
      <c r="AS29" s="34">
        <v>6.4999999999999997E-3</v>
      </c>
    </row>
    <row r="30" spans="1:51" ht="20.25" x14ac:dyDescent="0.2">
      <c r="A30" s="107">
        <v>1</v>
      </c>
      <c r="B30" s="310"/>
      <c r="C30" s="311"/>
      <c r="D30" s="310"/>
      <c r="E30" s="311"/>
      <c r="F30" s="312" t="s">
        <v>60</v>
      </c>
      <c r="G30" s="313"/>
      <c r="H30" s="313"/>
      <c r="I30" s="313"/>
      <c r="J30" s="313"/>
      <c r="K30" s="313"/>
      <c r="L30" s="313"/>
      <c r="M30" s="313"/>
      <c r="N30" s="313"/>
      <c r="O30" s="313"/>
      <c r="P30" s="313"/>
      <c r="Q30" s="313"/>
      <c r="R30" s="314"/>
      <c r="S30" s="315"/>
      <c r="T30" s="316"/>
      <c r="U30" s="260"/>
      <c r="V30" s="261"/>
      <c r="W30" s="262"/>
      <c r="X30" s="317"/>
      <c r="Y30" s="318"/>
      <c r="Z30" s="319"/>
      <c r="AA30" s="320" t="str">
        <f>IF(S30="","",ROUND(U30*X30,2))</f>
        <v/>
      </c>
      <c r="AB30" s="321"/>
      <c r="AC30" s="321"/>
      <c r="AD30" s="322"/>
      <c r="AE30" s="307" t="str">
        <f>IF(S30="","",ROUND(X30*(1+$AI$18),2))</f>
        <v/>
      </c>
      <c r="AF30" s="308"/>
      <c r="AG30" s="308"/>
      <c r="AH30" s="308" t="str">
        <f>IF(S30="","",ROUND(U30*AE30,2))</f>
        <v/>
      </c>
      <c r="AI30" s="308"/>
      <c r="AJ30" s="308"/>
      <c r="AK30" s="308"/>
      <c r="AL30" s="308"/>
      <c r="AM30" s="309"/>
      <c r="AR30" s="31" t="s">
        <v>48</v>
      </c>
      <c r="AS30" s="34">
        <v>0.03</v>
      </c>
      <c r="AW30" s="292"/>
      <c r="AX30" s="292"/>
      <c r="AY30" s="292"/>
    </row>
    <row r="31" spans="1:51" ht="70.150000000000006" customHeight="1" x14ac:dyDescent="0.2">
      <c r="A31" s="101" t="s">
        <v>159</v>
      </c>
      <c r="B31" s="234">
        <v>103689</v>
      </c>
      <c r="C31" s="235"/>
      <c r="D31" s="205" t="s">
        <v>49</v>
      </c>
      <c r="E31" s="206"/>
      <c r="F31" s="296" t="s">
        <v>160</v>
      </c>
      <c r="G31" s="232"/>
      <c r="H31" s="232"/>
      <c r="I31" s="232"/>
      <c r="J31" s="232"/>
      <c r="K31" s="232"/>
      <c r="L31" s="232"/>
      <c r="M31" s="232"/>
      <c r="N31" s="232"/>
      <c r="O31" s="232"/>
      <c r="P31" s="232"/>
      <c r="Q31" s="232"/>
      <c r="R31" s="233"/>
      <c r="S31" s="210" t="s">
        <v>7</v>
      </c>
      <c r="T31" s="211"/>
      <c r="U31" s="212">
        <v>4.5</v>
      </c>
      <c r="V31" s="213"/>
      <c r="W31" s="214"/>
      <c r="X31" s="297">
        <v>501.86</v>
      </c>
      <c r="Y31" s="298"/>
      <c r="Z31" s="299"/>
      <c r="AA31" s="217">
        <f t="shared" ref="AA31:AA32" si="0">ROUND(X31*U31,2)</f>
        <v>2258.37</v>
      </c>
      <c r="AB31" s="218"/>
      <c r="AC31" s="218"/>
      <c r="AD31" s="219"/>
      <c r="AE31" s="220">
        <f>ROUND(X31*(1+AI$18),2)</f>
        <v>620.45000000000005</v>
      </c>
      <c r="AF31" s="221"/>
      <c r="AG31" s="221"/>
      <c r="AH31" s="221">
        <v>2792.05</v>
      </c>
      <c r="AI31" s="221"/>
      <c r="AJ31" s="221"/>
      <c r="AK31" s="221"/>
      <c r="AL31" s="221"/>
      <c r="AM31" s="222"/>
      <c r="AP31" s="38"/>
      <c r="AW31" s="292"/>
      <c r="AX31" s="292"/>
      <c r="AY31" s="292"/>
    </row>
    <row r="32" spans="1:51" ht="50.1" customHeight="1" x14ac:dyDescent="0.2">
      <c r="A32" s="101" t="s">
        <v>144</v>
      </c>
      <c r="B32" s="234">
        <v>98525</v>
      </c>
      <c r="C32" s="235"/>
      <c r="D32" s="205" t="s">
        <v>49</v>
      </c>
      <c r="E32" s="206"/>
      <c r="F32" s="423" t="s">
        <v>161</v>
      </c>
      <c r="G32" s="208"/>
      <c r="H32" s="208"/>
      <c r="I32" s="208"/>
      <c r="J32" s="208"/>
      <c r="K32" s="208"/>
      <c r="L32" s="208"/>
      <c r="M32" s="208"/>
      <c r="N32" s="208"/>
      <c r="O32" s="208"/>
      <c r="P32" s="208"/>
      <c r="Q32" s="208"/>
      <c r="R32" s="209"/>
      <c r="S32" s="210" t="s">
        <v>143</v>
      </c>
      <c r="T32" s="211"/>
      <c r="U32" s="212">
        <v>1317.84</v>
      </c>
      <c r="V32" s="213"/>
      <c r="W32" s="214"/>
      <c r="X32" s="297">
        <v>0.69</v>
      </c>
      <c r="Y32" s="298"/>
      <c r="Z32" s="299"/>
      <c r="AA32" s="217">
        <f t="shared" si="0"/>
        <v>909.31</v>
      </c>
      <c r="AB32" s="218"/>
      <c r="AC32" s="218"/>
      <c r="AD32" s="219"/>
      <c r="AE32" s="220">
        <f>ROUND(X32*(1+AI$18),2)</f>
        <v>0.85</v>
      </c>
      <c r="AF32" s="221"/>
      <c r="AG32" s="221"/>
      <c r="AH32" s="221">
        <f t="shared" ref="AH32" si="1">ROUND(AE32*U32,2)</f>
        <v>1120.1600000000001</v>
      </c>
      <c r="AI32" s="221"/>
      <c r="AJ32" s="221"/>
      <c r="AK32" s="221"/>
      <c r="AL32" s="221"/>
      <c r="AM32" s="222"/>
      <c r="AP32" s="38"/>
      <c r="AW32" s="121"/>
      <c r="AX32" s="121"/>
      <c r="AY32" s="121"/>
    </row>
    <row r="33" spans="1:51" ht="50.1" customHeight="1" x14ac:dyDescent="0.2">
      <c r="A33" s="101" t="s">
        <v>223</v>
      </c>
      <c r="B33" s="234" t="s">
        <v>224</v>
      </c>
      <c r="C33" s="235"/>
      <c r="D33" s="205" t="s">
        <v>193</v>
      </c>
      <c r="E33" s="206"/>
      <c r="F33" s="423" t="s">
        <v>225</v>
      </c>
      <c r="G33" s="208"/>
      <c r="H33" s="208"/>
      <c r="I33" s="208"/>
      <c r="J33" s="208"/>
      <c r="K33" s="208"/>
      <c r="L33" s="208"/>
      <c r="M33" s="208"/>
      <c r="N33" s="208"/>
      <c r="O33" s="208"/>
      <c r="P33" s="208"/>
      <c r="Q33" s="208"/>
      <c r="R33" s="209"/>
      <c r="S33" s="210" t="s">
        <v>140</v>
      </c>
      <c r="T33" s="211"/>
      <c r="U33" s="212">
        <v>455.97</v>
      </c>
      <c r="V33" s="213"/>
      <c r="W33" s="214"/>
      <c r="X33" s="297">
        <v>9.84</v>
      </c>
      <c r="Y33" s="298"/>
      <c r="Z33" s="299"/>
      <c r="AA33" s="217">
        <f t="shared" ref="AA33" si="2">ROUND(X33*U33,2)</f>
        <v>4486.74</v>
      </c>
      <c r="AB33" s="218"/>
      <c r="AC33" s="218"/>
      <c r="AD33" s="219"/>
      <c r="AE33" s="220">
        <f>ROUND(X33*(1+AI$18),2)</f>
        <v>12.17</v>
      </c>
      <c r="AF33" s="221"/>
      <c r="AG33" s="221"/>
      <c r="AH33" s="221">
        <f t="shared" ref="AH33" si="3">ROUND(AE33*U33,2)</f>
        <v>5549.15</v>
      </c>
      <c r="AI33" s="221"/>
      <c r="AJ33" s="221"/>
      <c r="AK33" s="221"/>
      <c r="AL33" s="221"/>
      <c r="AM33" s="222"/>
      <c r="AP33" s="38"/>
      <c r="AW33" s="121"/>
      <c r="AX33" s="121"/>
      <c r="AY33" s="121"/>
    </row>
    <row r="34" spans="1:51" ht="50.1" customHeight="1" x14ac:dyDescent="0.2">
      <c r="A34" s="100"/>
      <c r="B34" s="164"/>
      <c r="C34" s="165"/>
      <c r="D34" s="164"/>
      <c r="E34" s="165"/>
      <c r="F34" s="241" t="s">
        <v>50</v>
      </c>
      <c r="G34" s="242"/>
      <c r="H34" s="242"/>
      <c r="I34" s="242"/>
      <c r="J34" s="242"/>
      <c r="K34" s="242"/>
      <c r="L34" s="242"/>
      <c r="M34" s="242"/>
      <c r="N34" s="242"/>
      <c r="O34" s="242"/>
      <c r="P34" s="242"/>
      <c r="Q34" s="242"/>
      <c r="R34" s="243"/>
      <c r="S34" s="166"/>
      <c r="T34" s="167"/>
      <c r="U34" s="168"/>
      <c r="V34" s="169"/>
      <c r="W34" s="170"/>
      <c r="X34" s="305"/>
      <c r="Y34" s="306"/>
      <c r="Z34" s="306"/>
      <c r="AA34" s="271">
        <f>SUM(AA31:AD32)</f>
        <v>3167.68</v>
      </c>
      <c r="AB34" s="272"/>
      <c r="AC34" s="272"/>
      <c r="AD34" s="273"/>
      <c r="AE34" s="220"/>
      <c r="AF34" s="221"/>
      <c r="AG34" s="221"/>
      <c r="AH34" s="274">
        <f>SUM(AH31:AM33)</f>
        <v>9461.36</v>
      </c>
      <c r="AI34" s="275"/>
      <c r="AJ34" s="275"/>
      <c r="AK34" s="275"/>
      <c r="AL34" s="275"/>
      <c r="AM34" s="276"/>
      <c r="AP34" s="38"/>
      <c r="AW34" s="422"/>
      <c r="AX34" s="422"/>
      <c r="AY34" s="422"/>
    </row>
    <row r="35" spans="1:51" ht="50.1" customHeight="1" x14ac:dyDescent="0.2">
      <c r="A35" s="106">
        <v>2</v>
      </c>
      <c r="B35" s="285"/>
      <c r="C35" s="286"/>
      <c r="D35" s="287"/>
      <c r="E35" s="288"/>
      <c r="F35" s="289" t="s">
        <v>136</v>
      </c>
      <c r="G35" s="290"/>
      <c r="H35" s="290"/>
      <c r="I35" s="290"/>
      <c r="J35" s="290"/>
      <c r="K35" s="290"/>
      <c r="L35" s="290"/>
      <c r="M35" s="290"/>
      <c r="N35" s="290"/>
      <c r="O35" s="290"/>
      <c r="P35" s="290"/>
      <c r="Q35" s="290"/>
      <c r="R35" s="291"/>
      <c r="S35" s="258"/>
      <c r="T35" s="259"/>
      <c r="U35" s="260"/>
      <c r="V35" s="261"/>
      <c r="W35" s="262"/>
      <c r="X35" s="279"/>
      <c r="Y35" s="280"/>
      <c r="Z35" s="281"/>
      <c r="AA35" s="282"/>
      <c r="AB35" s="283"/>
      <c r="AC35" s="283"/>
      <c r="AD35" s="284"/>
      <c r="AE35" s="277"/>
      <c r="AF35" s="278"/>
      <c r="AG35" s="278"/>
      <c r="AH35" s="278"/>
      <c r="AI35" s="278"/>
      <c r="AJ35" s="278"/>
      <c r="AK35" s="278"/>
      <c r="AL35" s="278"/>
      <c r="AM35" s="295"/>
      <c r="AP35" s="43"/>
      <c r="AW35" s="365"/>
      <c r="AX35" s="365"/>
      <c r="AY35" s="365"/>
    </row>
    <row r="36" spans="1:51" ht="50.1" customHeight="1" x14ac:dyDescent="0.2">
      <c r="A36" s="101" t="s">
        <v>2</v>
      </c>
      <c r="B36" s="234">
        <v>100576</v>
      </c>
      <c r="C36" s="235"/>
      <c r="D36" s="205" t="s">
        <v>49</v>
      </c>
      <c r="E36" s="206"/>
      <c r="F36" s="207" t="s">
        <v>154</v>
      </c>
      <c r="G36" s="208"/>
      <c r="H36" s="208"/>
      <c r="I36" s="208"/>
      <c r="J36" s="208"/>
      <c r="K36" s="208"/>
      <c r="L36" s="208"/>
      <c r="M36" s="208"/>
      <c r="N36" s="208"/>
      <c r="O36" s="208"/>
      <c r="P36" s="208"/>
      <c r="Q36" s="208"/>
      <c r="R36" s="209"/>
      <c r="S36" s="210" t="s">
        <v>7</v>
      </c>
      <c r="T36" s="211"/>
      <c r="U36" s="212">
        <v>976</v>
      </c>
      <c r="V36" s="213"/>
      <c r="W36" s="214"/>
      <c r="X36" s="225">
        <v>2.02</v>
      </c>
      <c r="Y36" s="226"/>
      <c r="Z36" s="226"/>
      <c r="AA36" s="217">
        <f t="shared" ref="AA36:AA42" si="4">ROUND(X36*U36,2)</f>
        <v>1971.52</v>
      </c>
      <c r="AB36" s="218"/>
      <c r="AC36" s="218"/>
      <c r="AD36" s="219"/>
      <c r="AE36" s="220">
        <f>ROUND(X36*(1+AI$18),2)</f>
        <v>2.5</v>
      </c>
      <c r="AF36" s="221"/>
      <c r="AG36" s="221"/>
      <c r="AH36" s="221">
        <f>U36*AE36</f>
        <v>2440</v>
      </c>
      <c r="AI36" s="221"/>
      <c r="AJ36" s="221"/>
      <c r="AK36" s="221"/>
      <c r="AL36" s="221"/>
      <c r="AM36" s="222"/>
      <c r="AP36" s="44"/>
      <c r="AS36" s="38"/>
      <c r="AW36" s="292"/>
      <c r="AX36" s="292"/>
      <c r="AY36" s="292"/>
    </row>
    <row r="37" spans="1:51" ht="50.1" customHeight="1" x14ac:dyDescent="0.2">
      <c r="A37" s="101" t="s">
        <v>4</v>
      </c>
      <c r="B37" s="234">
        <v>100573</v>
      </c>
      <c r="C37" s="235"/>
      <c r="D37" s="205" t="s">
        <v>49</v>
      </c>
      <c r="E37" s="206"/>
      <c r="F37" s="207" t="s">
        <v>142</v>
      </c>
      <c r="G37" s="208"/>
      <c r="H37" s="208"/>
      <c r="I37" s="208"/>
      <c r="J37" s="208"/>
      <c r="K37" s="208"/>
      <c r="L37" s="208"/>
      <c r="M37" s="208"/>
      <c r="N37" s="208"/>
      <c r="O37" s="208"/>
      <c r="P37" s="208"/>
      <c r="Q37" s="208"/>
      <c r="R37" s="209"/>
      <c r="S37" s="210" t="s">
        <v>140</v>
      </c>
      <c r="T37" s="211"/>
      <c r="U37" s="212">
        <v>146.4</v>
      </c>
      <c r="V37" s="213"/>
      <c r="W37" s="214"/>
      <c r="X37" s="225">
        <v>117.85</v>
      </c>
      <c r="Y37" s="226"/>
      <c r="Z37" s="226"/>
      <c r="AA37" s="217">
        <f t="shared" ref="AA37" si="5">ROUND(X37*U37,2)</f>
        <v>17253.240000000002</v>
      </c>
      <c r="AB37" s="218"/>
      <c r="AC37" s="218"/>
      <c r="AD37" s="219"/>
      <c r="AE37" s="220">
        <f t="shared" ref="AE37:AE42" si="6">ROUND(X37*(1+AI$18),2)</f>
        <v>145.69999999999999</v>
      </c>
      <c r="AF37" s="221"/>
      <c r="AG37" s="221"/>
      <c r="AH37" s="221">
        <f>U37*AE37</f>
        <v>21330.48</v>
      </c>
      <c r="AI37" s="221"/>
      <c r="AJ37" s="221"/>
      <c r="AK37" s="221"/>
      <c r="AL37" s="221"/>
      <c r="AM37" s="222"/>
      <c r="AP37" s="44"/>
      <c r="AS37" s="38"/>
      <c r="AW37" s="121"/>
      <c r="AX37" s="121"/>
      <c r="AY37" s="121"/>
    </row>
    <row r="38" spans="1:51" ht="50.1" customHeight="1" x14ac:dyDescent="0.2">
      <c r="A38" s="101" t="s">
        <v>8</v>
      </c>
      <c r="B38" s="234">
        <v>95876</v>
      </c>
      <c r="C38" s="235"/>
      <c r="D38" s="205" t="s">
        <v>49</v>
      </c>
      <c r="E38" s="206"/>
      <c r="F38" s="207" t="s">
        <v>165</v>
      </c>
      <c r="G38" s="208"/>
      <c r="H38" s="208"/>
      <c r="I38" s="208"/>
      <c r="J38" s="208"/>
      <c r="K38" s="208"/>
      <c r="L38" s="208"/>
      <c r="M38" s="208"/>
      <c r="N38" s="208"/>
      <c r="O38" s="208"/>
      <c r="P38" s="208"/>
      <c r="Q38" s="208"/>
      <c r="R38" s="209"/>
      <c r="S38" s="234" t="s">
        <v>141</v>
      </c>
      <c r="T38" s="235"/>
      <c r="U38" s="212">
        <v>307.44</v>
      </c>
      <c r="V38" s="213"/>
      <c r="W38" s="214"/>
      <c r="X38" s="225">
        <v>2.2200000000000002</v>
      </c>
      <c r="Y38" s="226"/>
      <c r="Z38" s="226"/>
      <c r="AA38" s="217">
        <f t="shared" ref="AA38" si="7">ROUND(X38*U38,2)</f>
        <v>682.52</v>
      </c>
      <c r="AB38" s="218"/>
      <c r="AC38" s="218"/>
      <c r="AD38" s="219"/>
      <c r="AE38" s="220">
        <f t="shared" si="6"/>
        <v>2.74</v>
      </c>
      <c r="AF38" s="221"/>
      <c r="AG38" s="221"/>
      <c r="AH38" s="221">
        <f>U38*AE38</f>
        <v>842.38560000000007</v>
      </c>
      <c r="AI38" s="221"/>
      <c r="AJ38" s="221"/>
      <c r="AK38" s="221"/>
      <c r="AL38" s="221"/>
      <c r="AM38" s="222"/>
      <c r="AP38" s="44"/>
      <c r="AS38" s="38"/>
      <c r="AW38" s="121"/>
      <c r="AX38" s="121"/>
      <c r="AY38" s="121"/>
    </row>
    <row r="39" spans="1:51" ht="50.1" customHeight="1" x14ac:dyDescent="0.2">
      <c r="A39" s="101" t="s">
        <v>61</v>
      </c>
      <c r="B39" s="234" t="s">
        <v>182</v>
      </c>
      <c r="C39" s="235"/>
      <c r="D39" s="205" t="s">
        <v>180</v>
      </c>
      <c r="E39" s="206"/>
      <c r="F39" s="207" t="s">
        <v>181</v>
      </c>
      <c r="G39" s="208"/>
      <c r="H39" s="208"/>
      <c r="I39" s="208"/>
      <c r="J39" s="208"/>
      <c r="K39" s="208"/>
      <c r="L39" s="208"/>
      <c r="M39" s="208"/>
      <c r="N39" s="208"/>
      <c r="O39" s="208"/>
      <c r="P39" s="208"/>
      <c r="Q39" s="208"/>
      <c r="R39" s="209"/>
      <c r="S39" s="210" t="s">
        <v>7</v>
      </c>
      <c r="T39" s="211"/>
      <c r="U39" s="212">
        <v>976</v>
      </c>
      <c r="V39" s="213"/>
      <c r="W39" s="214"/>
      <c r="X39" s="239">
        <v>9.19</v>
      </c>
      <c r="Y39" s="226"/>
      <c r="Z39" s="226"/>
      <c r="AA39" s="217">
        <f t="shared" si="4"/>
        <v>8969.44</v>
      </c>
      <c r="AB39" s="218"/>
      <c r="AC39" s="218"/>
      <c r="AD39" s="219"/>
      <c r="AE39" s="220">
        <f t="shared" si="6"/>
        <v>11.36</v>
      </c>
      <c r="AF39" s="221"/>
      <c r="AG39" s="221"/>
      <c r="AH39" s="221">
        <f>U39*AE39</f>
        <v>11087.359999999999</v>
      </c>
      <c r="AI39" s="221"/>
      <c r="AJ39" s="221"/>
      <c r="AK39" s="221"/>
      <c r="AL39" s="221"/>
      <c r="AM39" s="222"/>
      <c r="AW39" s="292"/>
      <c r="AX39" s="292"/>
      <c r="AY39" s="292"/>
    </row>
    <row r="40" spans="1:51" ht="50.1" customHeight="1" x14ac:dyDescent="0.2">
      <c r="A40" s="101" t="s">
        <v>201</v>
      </c>
      <c r="B40" s="252">
        <v>102330</v>
      </c>
      <c r="C40" s="253"/>
      <c r="D40" s="205" t="s">
        <v>49</v>
      </c>
      <c r="E40" s="206"/>
      <c r="F40" s="207" t="s">
        <v>185</v>
      </c>
      <c r="G40" s="208"/>
      <c r="H40" s="208"/>
      <c r="I40" s="208"/>
      <c r="J40" s="208"/>
      <c r="K40" s="208"/>
      <c r="L40" s="208"/>
      <c r="M40" s="208"/>
      <c r="N40" s="208"/>
      <c r="O40" s="208"/>
      <c r="P40" s="208"/>
      <c r="Q40" s="208"/>
      <c r="R40" s="209"/>
      <c r="S40" s="223" t="s">
        <v>166</v>
      </c>
      <c r="T40" s="224"/>
      <c r="U40" s="212">
        <v>268.62</v>
      </c>
      <c r="V40" s="213"/>
      <c r="W40" s="214"/>
      <c r="X40" s="225">
        <v>1.46</v>
      </c>
      <c r="Y40" s="226"/>
      <c r="Z40" s="226"/>
      <c r="AA40" s="217">
        <f t="shared" si="4"/>
        <v>392.19</v>
      </c>
      <c r="AB40" s="218"/>
      <c r="AC40" s="218"/>
      <c r="AD40" s="219"/>
      <c r="AE40" s="220">
        <f t="shared" si="6"/>
        <v>1.8</v>
      </c>
      <c r="AF40" s="221"/>
      <c r="AG40" s="221"/>
      <c r="AH40" s="221">
        <f>U40*AE40</f>
        <v>483.51600000000002</v>
      </c>
      <c r="AI40" s="221"/>
      <c r="AJ40" s="221"/>
      <c r="AK40" s="221"/>
      <c r="AL40" s="221"/>
      <c r="AM40" s="222"/>
      <c r="AR40" s="44"/>
      <c r="AW40" s="292"/>
      <c r="AX40" s="292"/>
      <c r="AY40" s="292"/>
    </row>
    <row r="41" spans="1:51" ht="50.1" customHeight="1" x14ac:dyDescent="0.2">
      <c r="A41" s="101" t="s">
        <v>202</v>
      </c>
      <c r="B41" s="234" t="s">
        <v>184</v>
      </c>
      <c r="C41" s="235"/>
      <c r="D41" s="205" t="s">
        <v>180</v>
      </c>
      <c r="E41" s="206"/>
      <c r="F41" s="207" t="s">
        <v>183</v>
      </c>
      <c r="G41" s="208"/>
      <c r="H41" s="208"/>
      <c r="I41" s="208"/>
      <c r="J41" s="208"/>
      <c r="K41" s="208"/>
      <c r="L41" s="208"/>
      <c r="M41" s="208"/>
      <c r="N41" s="208"/>
      <c r="O41" s="208"/>
      <c r="P41" s="208"/>
      <c r="Q41" s="208"/>
      <c r="R41" s="209"/>
      <c r="S41" s="210" t="s">
        <v>7</v>
      </c>
      <c r="T41" s="211"/>
      <c r="U41" s="212">
        <v>854</v>
      </c>
      <c r="V41" s="213"/>
      <c r="W41" s="214"/>
      <c r="X41" s="239">
        <v>2.4</v>
      </c>
      <c r="Y41" s="226"/>
      <c r="Z41" s="226"/>
      <c r="AA41" s="217">
        <f t="shared" si="4"/>
        <v>2049.6</v>
      </c>
      <c r="AB41" s="218"/>
      <c r="AC41" s="218"/>
      <c r="AD41" s="219"/>
      <c r="AE41" s="220">
        <f t="shared" si="6"/>
        <v>2.97</v>
      </c>
      <c r="AF41" s="221"/>
      <c r="AG41" s="221"/>
      <c r="AH41" s="221">
        <f>ROUND(AE41*U41,2)</f>
        <v>2536.38</v>
      </c>
      <c r="AI41" s="221"/>
      <c r="AJ41" s="221"/>
      <c r="AK41" s="221"/>
      <c r="AL41" s="221"/>
      <c r="AM41" s="222"/>
      <c r="AR41" s="44"/>
      <c r="AW41" s="121"/>
      <c r="AX41" s="121"/>
      <c r="AY41" s="121"/>
    </row>
    <row r="42" spans="1:51" ht="50.1" customHeight="1" x14ac:dyDescent="0.2">
      <c r="A42" s="101" t="s">
        <v>203</v>
      </c>
      <c r="B42" s="252">
        <v>102330</v>
      </c>
      <c r="C42" s="253"/>
      <c r="D42" s="205" t="s">
        <v>49</v>
      </c>
      <c r="E42" s="206"/>
      <c r="F42" s="207" t="s">
        <v>185</v>
      </c>
      <c r="G42" s="208"/>
      <c r="H42" s="208"/>
      <c r="I42" s="208"/>
      <c r="J42" s="208"/>
      <c r="K42" s="208"/>
      <c r="L42" s="208"/>
      <c r="M42" s="208"/>
      <c r="N42" s="208"/>
      <c r="O42" s="208"/>
      <c r="P42" s="208"/>
      <c r="Q42" s="208"/>
      <c r="R42" s="209"/>
      <c r="S42" s="223" t="s">
        <v>166</v>
      </c>
      <c r="T42" s="224"/>
      <c r="U42" s="212">
        <v>268.62</v>
      </c>
      <c r="V42" s="213"/>
      <c r="W42" s="214"/>
      <c r="X42" s="225">
        <v>1.46</v>
      </c>
      <c r="Y42" s="226"/>
      <c r="Z42" s="226"/>
      <c r="AA42" s="217">
        <f t="shared" si="4"/>
        <v>392.19</v>
      </c>
      <c r="AB42" s="218"/>
      <c r="AC42" s="218"/>
      <c r="AD42" s="219"/>
      <c r="AE42" s="220">
        <f t="shared" si="6"/>
        <v>1.8</v>
      </c>
      <c r="AF42" s="221"/>
      <c r="AG42" s="221"/>
      <c r="AH42" s="221">
        <f>U42*AE42</f>
        <v>483.51600000000002</v>
      </c>
      <c r="AI42" s="221"/>
      <c r="AJ42" s="221"/>
      <c r="AK42" s="221"/>
      <c r="AL42" s="221"/>
      <c r="AM42" s="222"/>
      <c r="AP42" s="38"/>
      <c r="AW42" s="121"/>
      <c r="AX42" s="121"/>
      <c r="AY42" s="121"/>
    </row>
    <row r="43" spans="1:51" ht="50.1" customHeight="1" x14ac:dyDescent="0.2">
      <c r="A43" s="101" t="s">
        <v>204</v>
      </c>
      <c r="B43" s="252">
        <v>95995</v>
      </c>
      <c r="C43" s="253"/>
      <c r="D43" s="205" t="s">
        <v>49</v>
      </c>
      <c r="E43" s="206"/>
      <c r="F43" s="207" t="s">
        <v>155</v>
      </c>
      <c r="G43" s="208"/>
      <c r="H43" s="208"/>
      <c r="I43" s="208"/>
      <c r="J43" s="208"/>
      <c r="K43" s="208"/>
      <c r="L43" s="208"/>
      <c r="M43" s="208"/>
      <c r="N43" s="208"/>
      <c r="O43" s="208"/>
      <c r="P43" s="208"/>
      <c r="Q43" s="208"/>
      <c r="R43" s="209"/>
      <c r="S43" s="210" t="s">
        <v>140</v>
      </c>
      <c r="T43" s="211"/>
      <c r="U43" s="212">
        <v>25.62</v>
      </c>
      <c r="V43" s="213"/>
      <c r="W43" s="214"/>
      <c r="X43" s="225">
        <v>1921.4</v>
      </c>
      <c r="Y43" s="226"/>
      <c r="Z43" s="226"/>
      <c r="AA43" s="217">
        <f t="shared" ref="AA43:AA44" si="8">ROUND(X43*U43,2)</f>
        <v>49226.27</v>
      </c>
      <c r="AB43" s="218"/>
      <c r="AC43" s="218"/>
      <c r="AD43" s="219"/>
      <c r="AE43" s="220">
        <f t="shared" ref="AE43:AE44" si="9">ROUND(X43*(1+AI$18),2)</f>
        <v>2375.4299999999998</v>
      </c>
      <c r="AF43" s="221"/>
      <c r="AG43" s="221"/>
      <c r="AH43" s="221">
        <f t="shared" ref="AH43:AH44" si="10">U43*AE43</f>
        <v>60858.516599999995</v>
      </c>
      <c r="AI43" s="221"/>
      <c r="AJ43" s="221"/>
      <c r="AK43" s="221"/>
      <c r="AL43" s="221"/>
      <c r="AM43" s="222"/>
      <c r="AP43" s="38"/>
      <c r="AW43" s="121"/>
      <c r="AX43" s="121"/>
      <c r="AY43" s="121"/>
    </row>
    <row r="44" spans="1:51" ht="50.1" customHeight="1" x14ac:dyDescent="0.2">
      <c r="A44" s="101" t="s">
        <v>205</v>
      </c>
      <c r="B44" s="252">
        <v>95876</v>
      </c>
      <c r="C44" s="253"/>
      <c r="D44" s="205" t="s">
        <v>49</v>
      </c>
      <c r="E44" s="206"/>
      <c r="F44" s="207" t="s">
        <v>167</v>
      </c>
      <c r="G44" s="208"/>
      <c r="H44" s="208"/>
      <c r="I44" s="208"/>
      <c r="J44" s="208"/>
      <c r="K44" s="208"/>
      <c r="L44" s="208"/>
      <c r="M44" s="208"/>
      <c r="N44" s="208"/>
      <c r="O44" s="208"/>
      <c r="P44" s="208"/>
      <c r="Q44" s="208"/>
      <c r="R44" s="209"/>
      <c r="S44" s="244" t="s">
        <v>168</v>
      </c>
      <c r="T44" s="245"/>
      <c r="U44" s="212">
        <v>768.6</v>
      </c>
      <c r="V44" s="213"/>
      <c r="W44" s="214"/>
      <c r="X44" s="225">
        <v>2.2200000000000002</v>
      </c>
      <c r="Y44" s="226"/>
      <c r="Z44" s="226"/>
      <c r="AA44" s="217">
        <f t="shared" si="8"/>
        <v>1706.29</v>
      </c>
      <c r="AB44" s="218"/>
      <c r="AC44" s="218"/>
      <c r="AD44" s="219"/>
      <c r="AE44" s="220">
        <f t="shared" si="9"/>
        <v>2.74</v>
      </c>
      <c r="AF44" s="221"/>
      <c r="AG44" s="221"/>
      <c r="AH44" s="221">
        <f t="shared" si="10"/>
        <v>2105.9640000000004</v>
      </c>
      <c r="AI44" s="221"/>
      <c r="AJ44" s="221"/>
      <c r="AK44" s="221"/>
      <c r="AL44" s="221"/>
      <c r="AM44" s="222"/>
      <c r="AP44" s="38"/>
      <c r="AW44" s="121"/>
      <c r="AX44" s="121"/>
      <c r="AY44" s="121"/>
    </row>
    <row r="45" spans="1:51" ht="50.1" customHeight="1" x14ac:dyDescent="0.2">
      <c r="A45" s="101" t="s">
        <v>164</v>
      </c>
      <c r="B45" s="234">
        <v>93593</v>
      </c>
      <c r="C45" s="235"/>
      <c r="D45" s="205" t="s">
        <v>49</v>
      </c>
      <c r="E45" s="206"/>
      <c r="F45" s="207" t="s">
        <v>169</v>
      </c>
      <c r="G45" s="208"/>
      <c r="H45" s="208"/>
      <c r="I45" s="208"/>
      <c r="J45" s="208"/>
      <c r="K45" s="208"/>
      <c r="L45" s="208"/>
      <c r="M45" s="208"/>
      <c r="N45" s="208"/>
      <c r="O45" s="208"/>
      <c r="P45" s="208"/>
      <c r="Q45" s="208"/>
      <c r="R45" s="209"/>
      <c r="S45" s="234" t="s">
        <v>123</v>
      </c>
      <c r="T45" s="235"/>
      <c r="U45" s="212">
        <v>1022.24</v>
      </c>
      <c r="V45" s="213"/>
      <c r="W45" s="214"/>
      <c r="X45" s="239">
        <v>0.89</v>
      </c>
      <c r="Y45" s="226"/>
      <c r="Z45" s="240"/>
      <c r="AA45" s="246">
        <f t="shared" ref="AA45" si="11">ROUND(X45*U45,2)</f>
        <v>909.79</v>
      </c>
      <c r="AB45" s="247"/>
      <c r="AC45" s="247"/>
      <c r="AD45" s="248"/>
      <c r="AE45" s="249">
        <f t="shared" ref="AE45" si="12">ROUND(X45*(1+AI$18),2)</f>
        <v>1.1000000000000001</v>
      </c>
      <c r="AF45" s="250"/>
      <c r="AG45" s="251"/>
      <c r="AH45" s="254">
        <f>ROUND(AE45*U45,2)</f>
        <v>1124.46</v>
      </c>
      <c r="AI45" s="250"/>
      <c r="AJ45" s="250"/>
      <c r="AK45" s="250"/>
      <c r="AL45" s="250"/>
      <c r="AM45" s="255"/>
      <c r="AW45" s="121"/>
      <c r="AX45" s="121"/>
      <c r="AY45" s="121"/>
    </row>
    <row r="46" spans="1:51" ht="50.1" customHeight="1" x14ac:dyDescent="0.2">
      <c r="A46" s="101"/>
      <c r="B46" s="234"/>
      <c r="C46" s="235"/>
      <c r="D46" s="205"/>
      <c r="E46" s="206"/>
      <c r="F46" s="241" t="s">
        <v>51</v>
      </c>
      <c r="G46" s="242"/>
      <c r="H46" s="242"/>
      <c r="I46" s="242"/>
      <c r="J46" s="242"/>
      <c r="K46" s="242"/>
      <c r="L46" s="242"/>
      <c r="M46" s="242"/>
      <c r="N46" s="242"/>
      <c r="O46" s="242"/>
      <c r="P46" s="242"/>
      <c r="Q46" s="242"/>
      <c r="R46" s="243"/>
      <c r="S46" s="210"/>
      <c r="T46" s="211"/>
      <c r="U46" s="212"/>
      <c r="V46" s="213"/>
      <c r="W46" s="214"/>
      <c r="X46" s="239"/>
      <c r="Y46" s="226"/>
      <c r="Z46" s="240"/>
      <c r="AA46" s="271">
        <f>SUM(AA36:AD45)</f>
        <v>83553.049999999988</v>
      </c>
      <c r="AB46" s="272"/>
      <c r="AC46" s="272"/>
      <c r="AD46" s="273"/>
      <c r="AE46" s="220"/>
      <c r="AF46" s="221"/>
      <c r="AG46" s="221"/>
      <c r="AH46" s="274">
        <v>103292.59</v>
      </c>
      <c r="AI46" s="275"/>
      <c r="AJ46" s="275"/>
      <c r="AK46" s="275"/>
      <c r="AL46" s="275"/>
      <c r="AM46" s="276"/>
      <c r="AP46" s="38">
        <v>197285.18</v>
      </c>
      <c r="AR46" s="44"/>
      <c r="AW46" s="365"/>
      <c r="AX46" s="365"/>
      <c r="AY46" s="365"/>
    </row>
    <row r="47" spans="1:51" ht="50.1" customHeight="1" x14ac:dyDescent="0.2">
      <c r="A47" s="106">
        <v>3</v>
      </c>
      <c r="B47" s="285"/>
      <c r="C47" s="286"/>
      <c r="D47" s="287"/>
      <c r="E47" s="288"/>
      <c r="F47" s="289" t="s">
        <v>145</v>
      </c>
      <c r="G47" s="290"/>
      <c r="H47" s="290"/>
      <c r="I47" s="290"/>
      <c r="J47" s="290"/>
      <c r="K47" s="290"/>
      <c r="L47" s="290"/>
      <c r="M47" s="290"/>
      <c r="N47" s="290"/>
      <c r="O47" s="290"/>
      <c r="P47" s="290"/>
      <c r="Q47" s="290"/>
      <c r="R47" s="291"/>
      <c r="S47" s="258"/>
      <c r="T47" s="259"/>
      <c r="U47" s="260"/>
      <c r="V47" s="261"/>
      <c r="W47" s="262"/>
      <c r="X47" s="279"/>
      <c r="Y47" s="280"/>
      <c r="Z47" s="281"/>
      <c r="AA47" s="282"/>
      <c r="AB47" s="283"/>
      <c r="AC47" s="283"/>
      <c r="AD47" s="284"/>
      <c r="AE47" s="277"/>
      <c r="AF47" s="278"/>
      <c r="AG47" s="278"/>
      <c r="AH47" s="278"/>
      <c r="AI47" s="278"/>
      <c r="AJ47" s="278"/>
      <c r="AK47" s="278"/>
      <c r="AL47" s="278"/>
      <c r="AM47" s="295"/>
      <c r="AP47" s="38"/>
      <c r="AR47" s="44"/>
      <c r="AW47" s="163"/>
      <c r="AX47" s="163"/>
      <c r="AY47" s="163"/>
    </row>
    <row r="48" spans="1:51" ht="50.1" customHeight="1" x14ac:dyDescent="0.2">
      <c r="A48" s="101" t="s">
        <v>3</v>
      </c>
      <c r="B48" s="234" t="s">
        <v>184</v>
      </c>
      <c r="C48" s="235"/>
      <c r="D48" s="205" t="s">
        <v>180</v>
      </c>
      <c r="E48" s="206"/>
      <c r="F48" s="207" t="s">
        <v>183</v>
      </c>
      <c r="G48" s="208"/>
      <c r="H48" s="208"/>
      <c r="I48" s="208"/>
      <c r="J48" s="208"/>
      <c r="K48" s="208"/>
      <c r="L48" s="208"/>
      <c r="M48" s="208"/>
      <c r="N48" s="208"/>
      <c r="O48" s="208"/>
      <c r="P48" s="208"/>
      <c r="Q48" s="208"/>
      <c r="R48" s="209"/>
      <c r="S48" s="210" t="s">
        <v>7</v>
      </c>
      <c r="T48" s="211"/>
      <c r="U48" s="212">
        <v>6448.38</v>
      </c>
      <c r="V48" s="213"/>
      <c r="W48" s="214"/>
      <c r="X48" s="239">
        <v>2.4</v>
      </c>
      <c r="Y48" s="226"/>
      <c r="Z48" s="226"/>
      <c r="AA48" s="217">
        <f t="shared" ref="AA48:AA53" si="13">ROUND(X48*U48,2)</f>
        <v>15476.11</v>
      </c>
      <c r="AB48" s="218"/>
      <c r="AC48" s="218"/>
      <c r="AD48" s="219"/>
      <c r="AE48" s="220">
        <f t="shared" ref="AE48:AE53" si="14">ROUND(X48*(1+AI$18),2)</f>
        <v>2.97</v>
      </c>
      <c r="AF48" s="221"/>
      <c r="AG48" s="221"/>
      <c r="AH48" s="221">
        <f>ROUND(AE48*U48,2)</f>
        <v>19151.689999999999</v>
      </c>
      <c r="AI48" s="221"/>
      <c r="AJ48" s="221"/>
      <c r="AK48" s="221"/>
      <c r="AL48" s="221"/>
      <c r="AM48" s="222"/>
      <c r="AP48" s="38"/>
      <c r="AR48" s="44"/>
      <c r="AW48" s="163"/>
      <c r="AX48" s="163"/>
      <c r="AY48" s="163"/>
    </row>
    <row r="49" spans="1:51" ht="50.1" customHeight="1" x14ac:dyDescent="0.2">
      <c r="A49" s="101" t="s">
        <v>6</v>
      </c>
      <c r="B49" s="252">
        <v>102330</v>
      </c>
      <c r="C49" s="253"/>
      <c r="D49" s="205" t="s">
        <v>49</v>
      </c>
      <c r="E49" s="206"/>
      <c r="F49" s="207" t="s">
        <v>185</v>
      </c>
      <c r="G49" s="208"/>
      <c r="H49" s="208"/>
      <c r="I49" s="208"/>
      <c r="J49" s="208"/>
      <c r="K49" s="208"/>
      <c r="L49" s="208"/>
      <c r="M49" s="208"/>
      <c r="N49" s="208"/>
      <c r="O49" s="208"/>
      <c r="P49" s="208"/>
      <c r="Q49" s="208"/>
      <c r="R49" s="209"/>
      <c r="S49" s="223" t="s">
        <v>166</v>
      </c>
      <c r="T49" s="224"/>
      <c r="U49" s="212">
        <v>870.53</v>
      </c>
      <c r="V49" s="213"/>
      <c r="W49" s="214"/>
      <c r="X49" s="225">
        <v>1.46</v>
      </c>
      <c r="Y49" s="226"/>
      <c r="Z49" s="226"/>
      <c r="AA49" s="217">
        <f t="shared" si="13"/>
        <v>1270.97</v>
      </c>
      <c r="AB49" s="218"/>
      <c r="AC49" s="218"/>
      <c r="AD49" s="219"/>
      <c r="AE49" s="220">
        <f t="shared" si="14"/>
        <v>1.8</v>
      </c>
      <c r="AF49" s="221"/>
      <c r="AG49" s="221"/>
      <c r="AH49" s="221">
        <v>1566.94</v>
      </c>
      <c r="AI49" s="221"/>
      <c r="AJ49" s="221"/>
      <c r="AK49" s="221"/>
      <c r="AL49" s="221"/>
      <c r="AM49" s="222"/>
      <c r="AP49" s="38"/>
      <c r="AR49" s="44"/>
      <c r="AW49" s="163"/>
      <c r="AX49" s="163"/>
      <c r="AY49" s="163"/>
    </row>
    <row r="50" spans="1:51" ht="50.1" customHeight="1" x14ac:dyDescent="0.2">
      <c r="A50" s="101" t="s">
        <v>206</v>
      </c>
      <c r="B50" s="252">
        <v>102331</v>
      </c>
      <c r="C50" s="253"/>
      <c r="D50" s="205" t="s">
        <v>49</v>
      </c>
      <c r="E50" s="206"/>
      <c r="F50" s="207" t="s">
        <v>207</v>
      </c>
      <c r="G50" s="208"/>
      <c r="H50" s="208"/>
      <c r="I50" s="208"/>
      <c r="J50" s="208"/>
      <c r="K50" s="208"/>
      <c r="L50" s="208"/>
      <c r="M50" s="208"/>
      <c r="N50" s="208"/>
      <c r="O50" s="208"/>
      <c r="P50" s="208"/>
      <c r="Q50" s="208"/>
      <c r="R50" s="209"/>
      <c r="S50" s="223" t="s">
        <v>166</v>
      </c>
      <c r="T50" s="224"/>
      <c r="U50" s="212">
        <v>1157.8</v>
      </c>
      <c r="V50" s="213"/>
      <c r="W50" s="214"/>
      <c r="X50" s="225">
        <v>0.56999999999999995</v>
      </c>
      <c r="Y50" s="226"/>
      <c r="Z50" s="226"/>
      <c r="AA50" s="217">
        <f t="shared" ref="AA50" si="15">ROUND(X50*U50,2)</f>
        <v>659.95</v>
      </c>
      <c r="AB50" s="218"/>
      <c r="AC50" s="218"/>
      <c r="AD50" s="219"/>
      <c r="AE50" s="220">
        <f t="shared" ref="AE50" si="16">ROUND(X50*(1+AI$18),2)</f>
        <v>0.7</v>
      </c>
      <c r="AF50" s="221"/>
      <c r="AG50" s="221"/>
      <c r="AH50" s="221">
        <v>810.48</v>
      </c>
      <c r="AI50" s="221"/>
      <c r="AJ50" s="221"/>
      <c r="AK50" s="221"/>
      <c r="AL50" s="221"/>
      <c r="AM50" s="222"/>
      <c r="AP50" s="38"/>
      <c r="AR50" s="44"/>
      <c r="AW50" s="163"/>
      <c r="AX50" s="163"/>
      <c r="AY50" s="163"/>
    </row>
    <row r="51" spans="1:51" ht="50.1" customHeight="1" x14ac:dyDescent="0.2">
      <c r="A51" s="101" t="s">
        <v>170</v>
      </c>
      <c r="B51" s="252">
        <v>95995</v>
      </c>
      <c r="C51" s="253"/>
      <c r="D51" s="205" t="s">
        <v>49</v>
      </c>
      <c r="E51" s="206"/>
      <c r="F51" s="207" t="str">
        <f>F43</f>
        <v>EXECUÇÃO DE PAVIMENTO COM APLICAÇÃO DE CONCRETO ASFÁLTICO, CAMADA DE ROLAMENTO - EXCLUSIVE CARGA E TRANSPORTE.</v>
      </c>
      <c r="G51" s="208"/>
      <c r="H51" s="208"/>
      <c r="I51" s="208"/>
      <c r="J51" s="208"/>
      <c r="K51" s="208"/>
      <c r="L51" s="208"/>
      <c r="M51" s="208"/>
      <c r="N51" s="208"/>
      <c r="O51" s="208"/>
      <c r="P51" s="208"/>
      <c r="Q51" s="208"/>
      <c r="R51" s="209"/>
      <c r="S51" s="223" t="s">
        <v>140</v>
      </c>
      <c r="T51" s="224"/>
      <c r="U51" s="212">
        <v>201.82</v>
      </c>
      <c r="V51" s="213"/>
      <c r="W51" s="214"/>
      <c r="X51" s="225">
        <v>1921.4</v>
      </c>
      <c r="Y51" s="226"/>
      <c r="Z51" s="226"/>
      <c r="AA51" s="217">
        <f t="shared" ref="AA51:AA52" si="17">ROUND(X51*U51,2)</f>
        <v>387776.95</v>
      </c>
      <c r="AB51" s="218"/>
      <c r="AC51" s="218"/>
      <c r="AD51" s="219"/>
      <c r="AE51" s="220">
        <f t="shared" ref="AE51:AE52" si="18">ROUND(X51*(1+AI$18),2)</f>
        <v>2375.4299999999998</v>
      </c>
      <c r="AF51" s="221"/>
      <c r="AG51" s="221"/>
      <c r="AH51" s="221">
        <f t="shared" ref="AH51:AH52" si="19">U51*AE51</f>
        <v>479409.28259999998</v>
      </c>
      <c r="AI51" s="221"/>
      <c r="AJ51" s="221"/>
      <c r="AK51" s="221"/>
      <c r="AL51" s="221"/>
      <c r="AM51" s="222"/>
      <c r="AP51" s="38"/>
      <c r="AR51" s="44"/>
      <c r="AW51" s="163"/>
      <c r="AX51" s="163"/>
      <c r="AY51" s="163"/>
    </row>
    <row r="52" spans="1:51" ht="50.1" customHeight="1" x14ac:dyDescent="0.2">
      <c r="A52" s="101" t="s">
        <v>171</v>
      </c>
      <c r="B52" s="252">
        <v>95876</v>
      </c>
      <c r="C52" s="253"/>
      <c r="D52" s="205" t="s">
        <v>49</v>
      </c>
      <c r="E52" s="206"/>
      <c r="F52" s="207" t="str">
        <f>F44</f>
        <v>TRANSPORTE COM CAMINHAO BASCULANTE DE 14 M3, EM VIA URBANA PAVIMENTADA DMT ATE 30 KM</v>
      </c>
      <c r="G52" s="208"/>
      <c r="H52" s="208"/>
      <c r="I52" s="208"/>
      <c r="J52" s="208"/>
      <c r="K52" s="208"/>
      <c r="L52" s="208"/>
      <c r="M52" s="208"/>
      <c r="N52" s="208"/>
      <c r="O52" s="208"/>
      <c r="P52" s="208"/>
      <c r="Q52" s="208"/>
      <c r="R52" s="209"/>
      <c r="S52" s="244" t="s">
        <v>168</v>
      </c>
      <c r="T52" s="245"/>
      <c r="U52" s="212">
        <v>6054.6</v>
      </c>
      <c r="V52" s="213"/>
      <c r="W52" s="214"/>
      <c r="X52" s="225">
        <v>2.2200000000000002</v>
      </c>
      <c r="Y52" s="226"/>
      <c r="Z52" s="226"/>
      <c r="AA52" s="217">
        <f t="shared" si="17"/>
        <v>13441.21</v>
      </c>
      <c r="AB52" s="218"/>
      <c r="AC52" s="218"/>
      <c r="AD52" s="219"/>
      <c r="AE52" s="220">
        <f t="shared" si="18"/>
        <v>2.74</v>
      </c>
      <c r="AF52" s="221"/>
      <c r="AG52" s="221"/>
      <c r="AH52" s="221">
        <f t="shared" si="19"/>
        <v>16589.604000000003</v>
      </c>
      <c r="AI52" s="221"/>
      <c r="AJ52" s="221"/>
      <c r="AK52" s="221"/>
      <c r="AL52" s="221"/>
      <c r="AM52" s="222"/>
      <c r="AP52" s="38"/>
      <c r="AR52" s="44"/>
      <c r="AW52" s="163"/>
      <c r="AX52" s="163"/>
      <c r="AY52" s="163"/>
    </row>
    <row r="53" spans="1:51" ht="50.1" customHeight="1" x14ac:dyDescent="0.2">
      <c r="A53" s="101" t="s">
        <v>172</v>
      </c>
      <c r="B53" s="234">
        <v>93593</v>
      </c>
      <c r="C53" s="235"/>
      <c r="D53" s="205" t="s">
        <v>49</v>
      </c>
      <c r="E53" s="206"/>
      <c r="F53" s="207" t="s">
        <v>173</v>
      </c>
      <c r="G53" s="208"/>
      <c r="H53" s="208"/>
      <c r="I53" s="208"/>
      <c r="J53" s="208"/>
      <c r="K53" s="208"/>
      <c r="L53" s="208"/>
      <c r="M53" s="208"/>
      <c r="N53" s="208"/>
      <c r="O53" s="208"/>
      <c r="P53" s="208"/>
      <c r="Q53" s="208"/>
      <c r="R53" s="209"/>
      <c r="S53" s="244" t="s">
        <v>123</v>
      </c>
      <c r="T53" s="245"/>
      <c r="U53" s="212">
        <v>8052.61</v>
      </c>
      <c r="V53" s="213"/>
      <c r="W53" s="214"/>
      <c r="X53" s="239">
        <v>0.89</v>
      </c>
      <c r="Y53" s="226"/>
      <c r="Z53" s="240"/>
      <c r="AA53" s="246">
        <f t="shared" si="13"/>
        <v>7166.82</v>
      </c>
      <c r="AB53" s="247"/>
      <c r="AC53" s="247"/>
      <c r="AD53" s="248"/>
      <c r="AE53" s="249">
        <f t="shared" si="14"/>
        <v>1.1000000000000001</v>
      </c>
      <c r="AF53" s="250"/>
      <c r="AG53" s="251"/>
      <c r="AH53" s="254">
        <v>8857.89</v>
      </c>
      <c r="AI53" s="250"/>
      <c r="AJ53" s="250"/>
      <c r="AK53" s="250"/>
      <c r="AL53" s="250"/>
      <c r="AM53" s="255"/>
      <c r="AP53" s="38"/>
      <c r="AR53" s="44"/>
      <c r="AW53" s="163"/>
      <c r="AX53" s="163"/>
      <c r="AY53" s="163"/>
    </row>
    <row r="54" spans="1:51" ht="50.1" customHeight="1" x14ac:dyDescent="0.2">
      <c r="A54" s="102"/>
      <c r="B54" s="234"/>
      <c r="C54" s="235"/>
      <c r="D54" s="205"/>
      <c r="E54" s="206"/>
      <c r="F54" s="241" t="s">
        <v>52</v>
      </c>
      <c r="G54" s="242"/>
      <c r="H54" s="242"/>
      <c r="I54" s="242"/>
      <c r="J54" s="242"/>
      <c r="K54" s="242"/>
      <c r="L54" s="242"/>
      <c r="M54" s="242"/>
      <c r="N54" s="242"/>
      <c r="O54" s="242"/>
      <c r="P54" s="242"/>
      <c r="Q54" s="242"/>
      <c r="R54" s="243"/>
      <c r="S54" s="210"/>
      <c r="T54" s="211"/>
      <c r="U54" s="212"/>
      <c r="V54" s="213"/>
      <c r="W54" s="214"/>
      <c r="X54" s="239"/>
      <c r="Y54" s="226"/>
      <c r="Z54" s="240"/>
      <c r="AA54" s="271">
        <f>SUM(AA42:AD53)</f>
        <v>561579.6</v>
      </c>
      <c r="AB54" s="272"/>
      <c r="AC54" s="272"/>
      <c r="AD54" s="273"/>
      <c r="AE54" s="220"/>
      <c r="AF54" s="221"/>
      <c r="AG54" s="221"/>
      <c r="AH54" s="274">
        <v>526385.88</v>
      </c>
      <c r="AI54" s="275"/>
      <c r="AJ54" s="275"/>
      <c r="AK54" s="275"/>
      <c r="AL54" s="275"/>
      <c r="AM54" s="276"/>
      <c r="AP54" s="38"/>
      <c r="AW54" s="366"/>
      <c r="AX54" s="366"/>
      <c r="AY54" s="366"/>
    </row>
    <row r="55" spans="1:51" ht="50.1" customHeight="1" x14ac:dyDescent="0.2">
      <c r="A55" s="106">
        <v>4</v>
      </c>
      <c r="B55" s="285"/>
      <c r="C55" s="286"/>
      <c r="D55" s="287"/>
      <c r="E55" s="288"/>
      <c r="F55" s="289" t="s">
        <v>59</v>
      </c>
      <c r="G55" s="290"/>
      <c r="H55" s="290"/>
      <c r="I55" s="290"/>
      <c r="J55" s="290"/>
      <c r="K55" s="290"/>
      <c r="L55" s="290"/>
      <c r="M55" s="290"/>
      <c r="N55" s="290"/>
      <c r="O55" s="290"/>
      <c r="P55" s="290"/>
      <c r="Q55" s="290"/>
      <c r="R55" s="291"/>
      <c r="S55" s="258"/>
      <c r="T55" s="259"/>
      <c r="U55" s="260"/>
      <c r="V55" s="261"/>
      <c r="W55" s="262"/>
      <c r="X55" s="279"/>
      <c r="Y55" s="280"/>
      <c r="Z55" s="281"/>
      <c r="AA55" s="282"/>
      <c r="AB55" s="283"/>
      <c r="AC55" s="283"/>
      <c r="AD55" s="284"/>
      <c r="AE55" s="277"/>
      <c r="AF55" s="278"/>
      <c r="AG55" s="278"/>
      <c r="AH55" s="278"/>
      <c r="AI55" s="278"/>
      <c r="AJ55" s="278"/>
      <c r="AK55" s="278"/>
      <c r="AL55" s="278"/>
      <c r="AM55" s="295"/>
      <c r="AW55" s="365"/>
      <c r="AX55" s="365"/>
      <c r="AY55" s="365"/>
    </row>
    <row r="56" spans="1:51" ht="50.1" customHeight="1" x14ac:dyDescent="0.2">
      <c r="A56" s="101" t="s">
        <v>5</v>
      </c>
      <c r="B56" s="203">
        <v>104796</v>
      </c>
      <c r="C56" s="204"/>
      <c r="D56" s="205" t="s">
        <v>49</v>
      </c>
      <c r="E56" s="206"/>
      <c r="F56" s="207" t="s">
        <v>218</v>
      </c>
      <c r="G56" s="208"/>
      <c r="H56" s="208"/>
      <c r="I56" s="208"/>
      <c r="J56" s="208"/>
      <c r="K56" s="208"/>
      <c r="L56" s="208"/>
      <c r="M56" s="208"/>
      <c r="N56" s="208"/>
      <c r="O56" s="208"/>
      <c r="P56" s="208"/>
      <c r="Q56" s="208"/>
      <c r="R56" s="209"/>
      <c r="S56" s="210" t="s">
        <v>53</v>
      </c>
      <c r="T56" s="211"/>
      <c r="U56" s="212">
        <v>85.4</v>
      </c>
      <c r="V56" s="213"/>
      <c r="W56" s="214"/>
      <c r="X56" s="215">
        <v>14.36</v>
      </c>
      <c r="Y56" s="216"/>
      <c r="Z56" s="216"/>
      <c r="AA56" s="217">
        <f>ROUND(X56*U56,2)</f>
        <v>1226.3399999999999</v>
      </c>
      <c r="AB56" s="218"/>
      <c r="AC56" s="218"/>
      <c r="AD56" s="219"/>
      <c r="AE56" s="220">
        <f>ROUND(X56*(1+AI$18),2)</f>
        <v>17.75</v>
      </c>
      <c r="AF56" s="221"/>
      <c r="AG56" s="221"/>
      <c r="AH56" s="221">
        <f>ROUND(AE56*U56,2)</f>
        <v>1515.85</v>
      </c>
      <c r="AI56" s="221"/>
      <c r="AJ56" s="221"/>
      <c r="AK56" s="221"/>
      <c r="AL56" s="221"/>
      <c r="AM56" s="222"/>
      <c r="AW56" s="163"/>
      <c r="AX56" s="163"/>
      <c r="AY56" s="163"/>
    </row>
    <row r="57" spans="1:51" ht="50.1" customHeight="1" x14ac:dyDescent="0.2">
      <c r="A57" s="101" t="s">
        <v>174</v>
      </c>
      <c r="B57" s="203">
        <v>94277</v>
      </c>
      <c r="C57" s="204"/>
      <c r="D57" s="205" t="s">
        <v>49</v>
      </c>
      <c r="E57" s="206"/>
      <c r="F57" s="207" t="s">
        <v>220</v>
      </c>
      <c r="G57" s="208"/>
      <c r="H57" s="208"/>
      <c r="I57" s="208"/>
      <c r="J57" s="208"/>
      <c r="K57" s="208"/>
      <c r="L57" s="208"/>
      <c r="M57" s="208"/>
      <c r="N57" s="208"/>
      <c r="O57" s="208"/>
      <c r="P57" s="208"/>
      <c r="Q57" s="208"/>
      <c r="R57" s="209"/>
      <c r="S57" s="210" t="s">
        <v>53</v>
      </c>
      <c r="T57" s="211"/>
      <c r="U57" s="212">
        <v>1011.97</v>
      </c>
      <c r="V57" s="213"/>
      <c r="W57" s="214"/>
      <c r="X57" s="215">
        <v>50.11</v>
      </c>
      <c r="Y57" s="216"/>
      <c r="Z57" s="216"/>
      <c r="AA57" s="217">
        <f>ROUND(X57*U57,2)</f>
        <v>50709.82</v>
      </c>
      <c r="AB57" s="218"/>
      <c r="AC57" s="218"/>
      <c r="AD57" s="219"/>
      <c r="AE57" s="220">
        <f>ROUND(X57*(1+AI$18),2)</f>
        <v>61.95</v>
      </c>
      <c r="AF57" s="221"/>
      <c r="AG57" s="221"/>
      <c r="AH57" s="221">
        <v>62691.55</v>
      </c>
      <c r="AI57" s="221"/>
      <c r="AJ57" s="221"/>
      <c r="AK57" s="221"/>
      <c r="AL57" s="221"/>
      <c r="AM57" s="222"/>
      <c r="AW57" s="163"/>
      <c r="AX57" s="163"/>
      <c r="AY57" s="163"/>
    </row>
    <row r="58" spans="1:51" ht="50.1" customHeight="1" x14ac:dyDescent="0.2">
      <c r="A58" s="101" t="s">
        <v>216</v>
      </c>
      <c r="B58" s="203">
        <v>97636</v>
      </c>
      <c r="C58" s="204"/>
      <c r="D58" s="205" t="s">
        <v>49</v>
      </c>
      <c r="E58" s="206"/>
      <c r="F58" s="207" t="s">
        <v>215</v>
      </c>
      <c r="G58" s="208"/>
      <c r="H58" s="208"/>
      <c r="I58" s="208"/>
      <c r="J58" s="208"/>
      <c r="K58" s="208"/>
      <c r="L58" s="208"/>
      <c r="M58" s="208"/>
      <c r="N58" s="208"/>
      <c r="O58" s="208"/>
      <c r="P58" s="208"/>
      <c r="Q58" s="208"/>
      <c r="R58" s="209"/>
      <c r="S58" s="210" t="s">
        <v>53</v>
      </c>
      <c r="T58" s="211"/>
      <c r="U58" s="212">
        <v>762.11</v>
      </c>
      <c r="V58" s="213"/>
      <c r="W58" s="214"/>
      <c r="X58" s="215">
        <v>22.8</v>
      </c>
      <c r="Y58" s="216"/>
      <c r="Z58" s="216"/>
      <c r="AA58" s="217">
        <f>ROUND(X58*U58,2)</f>
        <v>17376.11</v>
      </c>
      <c r="AB58" s="218"/>
      <c r="AC58" s="218"/>
      <c r="AD58" s="219"/>
      <c r="AE58" s="220">
        <f>ROUND(X58*(1+AI$18),2)</f>
        <v>28.19</v>
      </c>
      <c r="AF58" s="221"/>
      <c r="AG58" s="221"/>
      <c r="AH58" s="221">
        <f>ROUND(AE58*U58,2)</f>
        <v>21483.88</v>
      </c>
      <c r="AI58" s="221"/>
      <c r="AJ58" s="221"/>
      <c r="AK58" s="221"/>
      <c r="AL58" s="221"/>
      <c r="AM58" s="222"/>
      <c r="AW58" s="163"/>
      <c r="AX58" s="163"/>
      <c r="AY58" s="163"/>
    </row>
    <row r="59" spans="1:51" ht="75" customHeight="1" x14ac:dyDescent="0.2">
      <c r="A59" s="101" t="s">
        <v>217</v>
      </c>
      <c r="B59" s="203">
        <v>94289</v>
      </c>
      <c r="C59" s="204"/>
      <c r="D59" s="205" t="s">
        <v>49</v>
      </c>
      <c r="E59" s="206"/>
      <c r="F59" s="207" t="s">
        <v>186</v>
      </c>
      <c r="G59" s="208"/>
      <c r="H59" s="208"/>
      <c r="I59" s="208"/>
      <c r="J59" s="208"/>
      <c r="K59" s="208"/>
      <c r="L59" s="208"/>
      <c r="M59" s="208"/>
      <c r="N59" s="208"/>
      <c r="O59" s="208"/>
      <c r="P59" s="208"/>
      <c r="Q59" s="208"/>
      <c r="R59" s="209"/>
      <c r="S59" s="210" t="s">
        <v>53</v>
      </c>
      <c r="T59" s="211"/>
      <c r="U59" s="212">
        <v>1768.22</v>
      </c>
      <c r="V59" s="213"/>
      <c r="W59" s="214"/>
      <c r="X59" s="215">
        <v>47.52</v>
      </c>
      <c r="Y59" s="216"/>
      <c r="Z59" s="216"/>
      <c r="AA59" s="217">
        <f>ROUND(X59*U59,2)</f>
        <v>84025.81</v>
      </c>
      <c r="AB59" s="218"/>
      <c r="AC59" s="218"/>
      <c r="AD59" s="219"/>
      <c r="AE59" s="220">
        <f>ROUND(X59*(1+AI$18),2)</f>
        <v>58.75</v>
      </c>
      <c r="AF59" s="221"/>
      <c r="AG59" s="221"/>
      <c r="AH59" s="221">
        <f>ROUND(AE59*U59,2)</f>
        <v>103882.93</v>
      </c>
      <c r="AI59" s="221"/>
      <c r="AJ59" s="221"/>
      <c r="AK59" s="221"/>
      <c r="AL59" s="221"/>
      <c r="AM59" s="222"/>
      <c r="AW59" s="292"/>
      <c r="AX59" s="292"/>
      <c r="AY59" s="292"/>
    </row>
    <row r="60" spans="1:51" ht="50.1" customHeight="1" x14ac:dyDescent="0.2">
      <c r="A60" s="101"/>
      <c r="B60" s="234"/>
      <c r="C60" s="235"/>
      <c r="D60" s="205"/>
      <c r="E60" s="206"/>
      <c r="F60" s="241" t="s">
        <v>54</v>
      </c>
      <c r="G60" s="242"/>
      <c r="H60" s="242"/>
      <c r="I60" s="242"/>
      <c r="J60" s="242"/>
      <c r="K60" s="242"/>
      <c r="L60" s="242"/>
      <c r="M60" s="242"/>
      <c r="N60" s="242"/>
      <c r="O60" s="242"/>
      <c r="P60" s="242"/>
      <c r="Q60" s="242"/>
      <c r="R60" s="243"/>
      <c r="S60" s="210"/>
      <c r="T60" s="211"/>
      <c r="U60" s="212"/>
      <c r="V60" s="213"/>
      <c r="W60" s="214"/>
      <c r="X60" s="239"/>
      <c r="Y60" s="226"/>
      <c r="Z60" s="240"/>
      <c r="AA60" s="271">
        <f>SUM(AA59:AD59)</f>
        <v>84025.81</v>
      </c>
      <c r="AB60" s="272"/>
      <c r="AC60" s="272"/>
      <c r="AD60" s="273"/>
      <c r="AE60" s="220"/>
      <c r="AF60" s="221"/>
      <c r="AG60" s="221"/>
      <c r="AH60" s="274">
        <f>AH59+AH57+AH58+AH56</f>
        <v>189574.21</v>
      </c>
      <c r="AI60" s="275"/>
      <c r="AJ60" s="275"/>
      <c r="AK60" s="275"/>
      <c r="AL60" s="275"/>
      <c r="AM60" s="276"/>
      <c r="AP60" s="38"/>
      <c r="AW60" s="365"/>
      <c r="AX60" s="365"/>
      <c r="AY60" s="365"/>
    </row>
    <row r="61" spans="1:51" ht="50.1" customHeight="1" x14ac:dyDescent="0.2">
      <c r="A61" s="106">
        <v>5</v>
      </c>
      <c r="B61" s="285"/>
      <c r="C61" s="286"/>
      <c r="D61" s="287"/>
      <c r="E61" s="288"/>
      <c r="F61" s="289" t="s">
        <v>62</v>
      </c>
      <c r="G61" s="290"/>
      <c r="H61" s="290"/>
      <c r="I61" s="290"/>
      <c r="J61" s="290"/>
      <c r="K61" s="290"/>
      <c r="L61" s="290"/>
      <c r="M61" s="290"/>
      <c r="N61" s="290"/>
      <c r="O61" s="290"/>
      <c r="P61" s="290"/>
      <c r="Q61" s="290"/>
      <c r="R61" s="291"/>
      <c r="S61" s="258"/>
      <c r="T61" s="259"/>
      <c r="U61" s="260"/>
      <c r="V61" s="261"/>
      <c r="W61" s="262"/>
      <c r="X61" s="263"/>
      <c r="Y61" s="264"/>
      <c r="Z61" s="265"/>
      <c r="AA61" s="282"/>
      <c r="AB61" s="283"/>
      <c r="AC61" s="283"/>
      <c r="AD61" s="284"/>
      <c r="AE61" s="277"/>
      <c r="AF61" s="278"/>
      <c r="AG61" s="278"/>
      <c r="AH61" s="278"/>
      <c r="AI61" s="278"/>
      <c r="AJ61" s="278"/>
      <c r="AK61" s="278"/>
      <c r="AL61" s="278"/>
      <c r="AM61" s="295"/>
      <c r="AP61" s="38"/>
      <c r="AW61" s="292"/>
      <c r="AX61" s="292"/>
      <c r="AY61" s="292"/>
    </row>
    <row r="62" spans="1:51" ht="50.1" customHeight="1" x14ac:dyDescent="0.2">
      <c r="A62" s="101" t="s">
        <v>208</v>
      </c>
      <c r="B62" s="234">
        <v>94990</v>
      </c>
      <c r="C62" s="235"/>
      <c r="D62" s="293" t="s">
        <v>49</v>
      </c>
      <c r="E62" s="294"/>
      <c r="F62" s="207" t="s">
        <v>178</v>
      </c>
      <c r="G62" s="208"/>
      <c r="H62" s="208"/>
      <c r="I62" s="208"/>
      <c r="J62" s="208"/>
      <c r="K62" s="208"/>
      <c r="L62" s="208"/>
      <c r="M62" s="208"/>
      <c r="N62" s="208"/>
      <c r="O62" s="208"/>
      <c r="P62" s="208"/>
      <c r="Q62" s="208"/>
      <c r="R62" s="209"/>
      <c r="S62" s="210" t="s">
        <v>179</v>
      </c>
      <c r="T62" s="211"/>
      <c r="U62" s="236">
        <v>99.62</v>
      </c>
      <c r="V62" s="237"/>
      <c r="W62" s="238"/>
      <c r="X62" s="239">
        <v>809.87</v>
      </c>
      <c r="Y62" s="226"/>
      <c r="Z62" s="226"/>
      <c r="AA62" s="217">
        <f>U62*X62</f>
        <v>80679.249400000001</v>
      </c>
      <c r="AB62" s="218"/>
      <c r="AC62" s="218"/>
      <c r="AD62" s="219"/>
      <c r="AE62" s="220">
        <f>ROUND(X62*(1+AI$18),2)</f>
        <v>1001.24</v>
      </c>
      <c r="AF62" s="221"/>
      <c r="AG62" s="221"/>
      <c r="AH62" s="221">
        <f>U62*AE62</f>
        <v>99743.5288</v>
      </c>
      <c r="AI62" s="221"/>
      <c r="AJ62" s="221"/>
      <c r="AK62" s="221"/>
      <c r="AL62" s="221"/>
      <c r="AM62" s="222"/>
      <c r="AP62" s="44"/>
      <c r="AW62" s="292"/>
      <c r="AX62" s="292"/>
      <c r="AY62" s="292"/>
    </row>
    <row r="63" spans="1:51" ht="50.1" customHeight="1" x14ac:dyDescent="0.2">
      <c r="A63" s="101" t="s">
        <v>209</v>
      </c>
      <c r="B63" s="227">
        <v>102513</v>
      </c>
      <c r="C63" s="228"/>
      <c r="D63" s="229" t="s">
        <v>49</v>
      </c>
      <c r="E63" s="230"/>
      <c r="F63" s="231" t="s">
        <v>188</v>
      </c>
      <c r="G63" s="232"/>
      <c r="H63" s="232"/>
      <c r="I63" s="232"/>
      <c r="J63" s="232"/>
      <c r="K63" s="232"/>
      <c r="L63" s="232"/>
      <c r="M63" s="232"/>
      <c r="N63" s="232"/>
      <c r="O63" s="232"/>
      <c r="P63" s="232"/>
      <c r="Q63" s="232"/>
      <c r="R63" s="233"/>
      <c r="S63" s="234" t="s">
        <v>143</v>
      </c>
      <c r="T63" s="235"/>
      <c r="U63" s="236">
        <v>22.4</v>
      </c>
      <c r="V63" s="237"/>
      <c r="W63" s="238"/>
      <c r="X63" s="239">
        <v>49.53</v>
      </c>
      <c r="Y63" s="226"/>
      <c r="Z63" s="226"/>
      <c r="AA63" s="217">
        <f t="shared" ref="AA63:AA65" si="20">ROUND(X63*U63,2)</f>
        <v>1109.47</v>
      </c>
      <c r="AB63" s="218"/>
      <c r="AC63" s="218"/>
      <c r="AD63" s="219"/>
      <c r="AE63" s="220">
        <f t="shared" ref="AE63:AE65" si="21">ROUND(X63*(1+AI$18),2)</f>
        <v>61.23</v>
      </c>
      <c r="AF63" s="221"/>
      <c r="AG63" s="221"/>
      <c r="AH63" s="221">
        <v>1371.56</v>
      </c>
      <c r="AI63" s="221"/>
      <c r="AJ63" s="221"/>
      <c r="AK63" s="221"/>
      <c r="AL63" s="221"/>
      <c r="AM63" s="222"/>
      <c r="AP63" s="44"/>
      <c r="AW63" s="121"/>
      <c r="AX63" s="121"/>
      <c r="AY63" s="121"/>
    </row>
    <row r="64" spans="1:51" ht="50.1" customHeight="1" x14ac:dyDescent="0.2">
      <c r="A64" s="101" t="s">
        <v>210</v>
      </c>
      <c r="B64" s="227">
        <v>102512</v>
      </c>
      <c r="C64" s="228"/>
      <c r="D64" s="229" t="s">
        <v>49</v>
      </c>
      <c r="E64" s="230"/>
      <c r="F64" s="231" t="s">
        <v>191</v>
      </c>
      <c r="G64" s="232"/>
      <c r="H64" s="232"/>
      <c r="I64" s="232"/>
      <c r="J64" s="232"/>
      <c r="K64" s="232"/>
      <c r="L64" s="232"/>
      <c r="M64" s="232"/>
      <c r="N64" s="232"/>
      <c r="O64" s="232"/>
      <c r="P64" s="232"/>
      <c r="Q64" s="232"/>
      <c r="R64" s="233"/>
      <c r="S64" s="234" t="s">
        <v>189</v>
      </c>
      <c r="T64" s="235"/>
      <c r="U64" s="236">
        <v>3519.07</v>
      </c>
      <c r="V64" s="237"/>
      <c r="W64" s="238"/>
      <c r="X64" s="239">
        <v>6.31</v>
      </c>
      <c r="Y64" s="226"/>
      <c r="Z64" s="226"/>
      <c r="AA64" s="217">
        <f t="shared" si="20"/>
        <v>22205.33</v>
      </c>
      <c r="AB64" s="218"/>
      <c r="AC64" s="218"/>
      <c r="AD64" s="219"/>
      <c r="AE64" s="220">
        <f t="shared" si="21"/>
        <v>7.8</v>
      </c>
      <c r="AF64" s="221"/>
      <c r="AG64" s="221"/>
      <c r="AH64" s="221">
        <f t="shared" ref="AH64:AH65" si="22">U64*AE64</f>
        <v>27448.745999999999</v>
      </c>
      <c r="AI64" s="221"/>
      <c r="AJ64" s="221"/>
      <c r="AK64" s="221"/>
      <c r="AL64" s="221"/>
      <c r="AM64" s="222"/>
      <c r="AP64" s="44"/>
      <c r="AW64" s="121"/>
      <c r="AX64" s="121"/>
      <c r="AY64" s="121"/>
    </row>
    <row r="65" spans="1:51" ht="50.1" customHeight="1" x14ac:dyDescent="0.2">
      <c r="A65" s="101" t="s">
        <v>211</v>
      </c>
      <c r="B65" s="227">
        <v>102508</v>
      </c>
      <c r="C65" s="228"/>
      <c r="D65" s="229" t="s">
        <v>49</v>
      </c>
      <c r="E65" s="230"/>
      <c r="F65" s="231" t="s">
        <v>190</v>
      </c>
      <c r="G65" s="232"/>
      <c r="H65" s="232"/>
      <c r="I65" s="232"/>
      <c r="J65" s="232"/>
      <c r="K65" s="232"/>
      <c r="L65" s="232"/>
      <c r="M65" s="232"/>
      <c r="N65" s="232"/>
      <c r="O65" s="232"/>
      <c r="P65" s="232"/>
      <c r="Q65" s="232"/>
      <c r="R65" s="233"/>
      <c r="S65" s="234" t="s">
        <v>143</v>
      </c>
      <c r="T65" s="235"/>
      <c r="U65" s="236">
        <v>102.75</v>
      </c>
      <c r="V65" s="237"/>
      <c r="W65" s="238"/>
      <c r="X65" s="239">
        <v>53.36</v>
      </c>
      <c r="Y65" s="226"/>
      <c r="Z65" s="240"/>
      <c r="AA65" s="217">
        <f t="shared" si="20"/>
        <v>5482.74</v>
      </c>
      <c r="AB65" s="218"/>
      <c r="AC65" s="218"/>
      <c r="AD65" s="219"/>
      <c r="AE65" s="220">
        <f t="shared" si="21"/>
        <v>65.97</v>
      </c>
      <c r="AF65" s="221"/>
      <c r="AG65" s="221"/>
      <c r="AH65" s="221">
        <f t="shared" si="22"/>
        <v>6778.4174999999996</v>
      </c>
      <c r="AI65" s="221"/>
      <c r="AJ65" s="221"/>
      <c r="AK65" s="221"/>
      <c r="AL65" s="221"/>
      <c r="AM65" s="222"/>
      <c r="AP65" s="44"/>
      <c r="AW65" s="121"/>
      <c r="AX65" s="121"/>
      <c r="AY65" s="121"/>
    </row>
    <row r="66" spans="1:51" ht="50.1" customHeight="1" x14ac:dyDescent="0.2">
      <c r="A66" s="101" t="s">
        <v>212</v>
      </c>
      <c r="B66" s="227" t="s">
        <v>194</v>
      </c>
      <c r="C66" s="228"/>
      <c r="D66" s="229" t="s">
        <v>193</v>
      </c>
      <c r="E66" s="230"/>
      <c r="F66" s="231" t="s">
        <v>192</v>
      </c>
      <c r="G66" s="232"/>
      <c r="H66" s="232"/>
      <c r="I66" s="232"/>
      <c r="J66" s="232"/>
      <c r="K66" s="232"/>
      <c r="L66" s="232"/>
      <c r="M66" s="232"/>
      <c r="N66" s="232"/>
      <c r="O66" s="232"/>
      <c r="P66" s="232"/>
      <c r="Q66" s="232"/>
      <c r="R66" s="233"/>
      <c r="S66" s="234" t="s">
        <v>37</v>
      </c>
      <c r="T66" s="235"/>
      <c r="U66" s="236">
        <v>6</v>
      </c>
      <c r="V66" s="237"/>
      <c r="W66" s="238"/>
      <c r="X66" s="239">
        <v>54.79</v>
      </c>
      <c r="Y66" s="226"/>
      <c r="Z66" s="240"/>
      <c r="AA66" s="217">
        <f t="shared" ref="AA66:AA69" si="23">ROUND(X66*U66,2)</f>
        <v>328.74</v>
      </c>
      <c r="AB66" s="218"/>
      <c r="AC66" s="218"/>
      <c r="AD66" s="219"/>
      <c r="AE66" s="220">
        <f t="shared" ref="AE66:AE69" si="24">ROUND(X66*(1+AI$18),2)</f>
        <v>67.739999999999995</v>
      </c>
      <c r="AF66" s="221"/>
      <c r="AG66" s="221"/>
      <c r="AH66" s="221">
        <f t="shared" ref="AH66:AH69" si="25">U66*AE66</f>
        <v>406.43999999999994</v>
      </c>
      <c r="AI66" s="221"/>
      <c r="AJ66" s="221"/>
      <c r="AK66" s="221"/>
      <c r="AL66" s="221"/>
      <c r="AM66" s="222"/>
      <c r="AP66" s="44"/>
      <c r="AW66" s="121"/>
      <c r="AX66" s="121"/>
      <c r="AY66" s="121"/>
    </row>
    <row r="67" spans="1:51" ht="50.1" customHeight="1" x14ac:dyDescent="0.2">
      <c r="A67" s="101" t="s">
        <v>213</v>
      </c>
      <c r="B67" s="227">
        <v>5213444</v>
      </c>
      <c r="C67" s="228"/>
      <c r="D67" s="229" t="s">
        <v>195</v>
      </c>
      <c r="E67" s="230"/>
      <c r="F67" s="231" t="s">
        <v>196</v>
      </c>
      <c r="G67" s="232"/>
      <c r="H67" s="232"/>
      <c r="I67" s="232"/>
      <c r="J67" s="232"/>
      <c r="K67" s="232"/>
      <c r="L67" s="232"/>
      <c r="M67" s="232"/>
      <c r="N67" s="232"/>
      <c r="O67" s="232"/>
      <c r="P67" s="232"/>
      <c r="Q67" s="232"/>
      <c r="R67" s="233"/>
      <c r="S67" s="234" t="s">
        <v>37</v>
      </c>
      <c r="T67" s="235"/>
      <c r="U67" s="236">
        <v>8</v>
      </c>
      <c r="V67" s="237"/>
      <c r="W67" s="238"/>
      <c r="X67" s="239">
        <v>259.52</v>
      </c>
      <c r="Y67" s="226"/>
      <c r="Z67" s="240"/>
      <c r="AA67" s="217">
        <f t="shared" si="23"/>
        <v>2076.16</v>
      </c>
      <c r="AB67" s="218"/>
      <c r="AC67" s="218"/>
      <c r="AD67" s="219"/>
      <c r="AE67" s="220">
        <f t="shared" si="24"/>
        <v>320.83999999999997</v>
      </c>
      <c r="AF67" s="221"/>
      <c r="AG67" s="221"/>
      <c r="AH67" s="221">
        <f t="shared" si="25"/>
        <v>2566.7199999999998</v>
      </c>
      <c r="AI67" s="221"/>
      <c r="AJ67" s="221"/>
      <c r="AK67" s="221"/>
      <c r="AL67" s="221"/>
      <c r="AM67" s="222"/>
      <c r="AP67" s="44"/>
      <c r="AW67" s="121"/>
      <c r="AX67" s="121"/>
      <c r="AY67" s="121"/>
    </row>
    <row r="68" spans="1:51" ht="50.1" customHeight="1" x14ac:dyDescent="0.2">
      <c r="A68" s="101" t="s">
        <v>219</v>
      </c>
      <c r="B68" s="227" t="s">
        <v>200</v>
      </c>
      <c r="C68" s="228"/>
      <c r="D68" s="229" t="s">
        <v>180</v>
      </c>
      <c r="E68" s="230"/>
      <c r="F68" s="231" t="s">
        <v>199</v>
      </c>
      <c r="G68" s="232"/>
      <c r="H68" s="232"/>
      <c r="I68" s="232"/>
      <c r="J68" s="232"/>
      <c r="K68" s="232"/>
      <c r="L68" s="232"/>
      <c r="M68" s="232"/>
      <c r="N68" s="232"/>
      <c r="O68" s="232"/>
      <c r="P68" s="232"/>
      <c r="Q68" s="232"/>
      <c r="R68" s="233"/>
      <c r="S68" s="234" t="s">
        <v>37</v>
      </c>
      <c r="T68" s="235"/>
      <c r="U68" s="236">
        <v>8</v>
      </c>
      <c r="V68" s="237"/>
      <c r="W68" s="238"/>
      <c r="X68" s="239">
        <v>773.22</v>
      </c>
      <c r="Y68" s="226"/>
      <c r="Z68" s="240"/>
      <c r="AA68" s="217">
        <f t="shared" si="23"/>
        <v>6185.76</v>
      </c>
      <c r="AB68" s="218"/>
      <c r="AC68" s="218"/>
      <c r="AD68" s="219"/>
      <c r="AE68" s="220">
        <f t="shared" si="24"/>
        <v>955.93</v>
      </c>
      <c r="AF68" s="221"/>
      <c r="AG68" s="221"/>
      <c r="AH68" s="221">
        <f t="shared" si="25"/>
        <v>7647.44</v>
      </c>
      <c r="AI68" s="221"/>
      <c r="AJ68" s="221"/>
      <c r="AK68" s="221"/>
      <c r="AL68" s="221"/>
      <c r="AM68" s="222"/>
      <c r="AP68" s="44"/>
      <c r="AW68" s="121"/>
      <c r="AX68" s="121"/>
      <c r="AY68" s="121"/>
    </row>
    <row r="69" spans="1:51" ht="50.1" customHeight="1" x14ac:dyDescent="0.2">
      <c r="A69" s="101" t="s">
        <v>226</v>
      </c>
      <c r="B69" s="227">
        <v>105004</v>
      </c>
      <c r="C69" s="228"/>
      <c r="D69" s="229" t="s">
        <v>49</v>
      </c>
      <c r="E69" s="230"/>
      <c r="F69" s="231" t="s">
        <v>228</v>
      </c>
      <c r="G69" s="232"/>
      <c r="H69" s="232"/>
      <c r="I69" s="232"/>
      <c r="J69" s="232"/>
      <c r="K69" s="232"/>
      <c r="L69" s="232"/>
      <c r="M69" s="232"/>
      <c r="N69" s="232"/>
      <c r="O69" s="232"/>
      <c r="P69" s="232"/>
      <c r="Q69" s="232"/>
      <c r="R69" s="233"/>
      <c r="S69" s="234" t="s">
        <v>143</v>
      </c>
      <c r="T69" s="235"/>
      <c r="U69" s="236">
        <v>19.440000000000001</v>
      </c>
      <c r="V69" s="237"/>
      <c r="W69" s="238"/>
      <c r="X69" s="239">
        <v>122.91</v>
      </c>
      <c r="Y69" s="226"/>
      <c r="Z69" s="240"/>
      <c r="AA69" s="217">
        <f t="shared" si="23"/>
        <v>2389.37</v>
      </c>
      <c r="AB69" s="218"/>
      <c r="AC69" s="218"/>
      <c r="AD69" s="219"/>
      <c r="AE69" s="220">
        <f t="shared" si="24"/>
        <v>151.94999999999999</v>
      </c>
      <c r="AF69" s="221"/>
      <c r="AG69" s="221"/>
      <c r="AH69" s="221">
        <v>2953.9</v>
      </c>
      <c r="AI69" s="221"/>
      <c r="AJ69" s="221"/>
      <c r="AK69" s="221"/>
      <c r="AL69" s="221"/>
      <c r="AM69" s="222"/>
      <c r="AP69" s="44"/>
      <c r="AW69" s="121"/>
      <c r="AX69" s="121"/>
      <c r="AY69" s="121"/>
    </row>
    <row r="70" spans="1:51" ht="50.1" customHeight="1" x14ac:dyDescent="0.2">
      <c r="A70" s="101" t="s">
        <v>227</v>
      </c>
      <c r="B70" s="227">
        <v>105005</v>
      </c>
      <c r="C70" s="228"/>
      <c r="D70" s="229" t="s">
        <v>49</v>
      </c>
      <c r="E70" s="230"/>
      <c r="F70" s="231" t="s">
        <v>229</v>
      </c>
      <c r="G70" s="232"/>
      <c r="H70" s="232"/>
      <c r="I70" s="232"/>
      <c r="J70" s="232"/>
      <c r="K70" s="232"/>
      <c r="L70" s="232"/>
      <c r="M70" s="232"/>
      <c r="N70" s="232"/>
      <c r="O70" s="232"/>
      <c r="P70" s="232"/>
      <c r="Q70" s="232"/>
      <c r="R70" s="233"/>
      <c r="S70" s="234" t="s">
        <v>143</v>
      </c>
      <c r="T70" s="235"/>
      <c r="U70" s="236">
        <v>4.32</v>
      </c>
      <c r="V70" s="237"/>
      <c r="W70" s="238"/>
      <c r="X70" s="239">
        <v>203.13</v>
      </c>
      <c r="Y70" s="226"/>
      <c r="Z70" s="240"/>
      <c r="AA70" s="217">
        <f t="shared" ref="AA70" si="26">ROUND(X70*U70,2)</f>
        <v>877.52</v>
      </c>
      <c r="AB70" s="218"/>
      <c r="AC70" s="218"/>
      <c r="AD70" s="219"/>
      <c r="AE70" s="220">
        <f t="shared" ref="AE70" si="27">ROUND(X70*(1+AI$18),2)</f>
        <v>251.13</v>
      </c>
      <c r="AF70" s="221"/>
      <c r="AG70" s="221"/>
      <c r="AH70" s="221">
        <f t="shared" ref="AH70" si="28">U70*AE70</f>
        <v>1084.8816000000002</v>
      </c>
      <c r="AI70" s="221"/>
      <c r="AJ70" s="221"/>
      <c r="AK70" s="221"/>
      <c r="AL70" s="221"/>
      <c r="AM70" s="222"/>
      <c r="AP70" s="44"/>
      <c r="AW70" s="121"/>
      <c r="AX70" s="121"/>
      <c r="AY70" s="121"/>
    </row>
    <row r="71" spans="1:51" ht="50.1" customHeight="1" x14ac:dyDescent="0.2">
      <c r="A71" s="101"/>
      <c r="B71" s="234"/>
      <c r="C71" s="235"/>
      <c r="D71" s="293"/>
      <c r="E71" s="294"/>
      <c r="F71" s="241" t="s">
        <v>153</v>
      </c>
      <c r="G71" s="242"/>
      <c r="H71" s="242"/>
      <c r="I71" s="242"/>
      <c r="J71" s="242"/>
      <c r="K71" s="242"/>
      <c r="L71" s="242"/>
      <c r="M71" s="242"/>
      <c r="N71" s="242"/>
      <c r="O71" s="242"/>
      <c r="P71" s="242"/>
      <c r="Q71" s="242"/>
      <c r="R71" s="243"/>
      <c r="S71" s="210"/>
      <c r="T71" s="211"/>
      <c r="U71" s="236"/>
      <c r="V71" s="237"/>
      <c r="W71" s="238"/>
      <c r="X71" s="239"/>
      <c r="Y71" s="226"/>
      <c r="Z71" s="240"/>
      <c r="AA71" s="217">
        <f>AA70+AA67+AA66+AA65+AA64+AA63+AA62</f>
        <v>112759.20940000001</v>
      </c>
      <c r="AB71" s="218"/>
      <c r="AC71" s="218"/>
      <c r="AD71" s="219"/>
      <c r="AE71" s="220"/>
      <c r="AF71" s="221"/>
      <c r="AG71" s="221"/>
      <c r="AH71" s="424">
        <v>150001.64000000001</v>
      </c>
      <c r="AI71" s="424"/>
      <c r="AJ71" s="424"/>
      <c r="AK71" s="424"/>
      <c r="AL71" s="424"/>
      <c r="AM71" s="425"/>
      <c r="AP71" s="44"/>
      <c r="AW71" s="121"/>
      <c r="AX71" s="121"/>
      <c r="AY71" s="121"/>
    </row>
    <row r="72" spans="1:51" ht="21" customHeight="1" x14ac:dyDescent="0.2">
      <c r="A72" s="180">
        <v>6</v>
      </c>
      <c r="B72" s="426"/>
      <c r="C72" s="427"/>
      <c r="D72" s="428"/>
      <c r="E72" s="429"/>
      <c r="F72" s="430" t="s">
        <v>162</v>
      </c>
      <c r="G72" s="431"/>
      <c r="H72" s="431"/>
      <c r="I72" s="431"/>
      <c r="J72" s="431"/>
      <c r="K72" s="431"/>
      <c r="L72" s="431"/>
      <c r="M72" s="431"/>
      <c r="N72" s="431"/>
      <c r="O72" s="431"/>
      <c r="P72" s="431"/>
      <c r="Q72" s="431"/>
      <c r="R72" s="432"/>
      <c r="S72" s="258"/>
      <c r="T72" s="259"/>
      <c r="U72" s="433"/>
      <c r="V72" s="434"/>
      <c r="W72" s="435"/>
      <c r="X72" s="279"/>
      <c r="Y72" s="280"/>
      <c r="Z72" s="281"/>
      <c r="AA72" s="282"/>
      <c r="AB72" s="283"/>
      <c r="AC72" s="283"/>
      <c r="AD72" s="284"/>
      <c r="AE72" s="277"/>
      <c r="AF72" s="278"/>
      <c r="AG72" s="278"/>
      <c r="AH72" s="278"/>
      <c r="AI72" s="278"/>
      <c r="AJ72" s="278"/>
      <c r="AK72" s="278"/>
      <c r="AL72" s="278"/>
      <c r="AM72" s="295"/>
      <c r="AP72" s="38"/>
    </row>
    <row r="73" spans="1:51" ht="34.9" customHeight="1" x14ac:dyDescent="0.2">
      <c r="A73" s="101" t="s">
        <v>148</v>
      </c>
      <c r="B73" s="234">
        <v>93567</v>
      </c>
      <c r="C73" s="235"/>
      <c r="D73" s="436" t="s">
        <v>49</v>
      </c>
      <c r="E73" s="294"/>
      <c r="F73" s="207" t="s">
        <v>175</v>
      </c>
      <c r="G73" s="208"/>
      <c r="H73" s="208"/>
      <c r="I73" s="208"/>
      <c r="J73" s="208"/>
      <c r="K73" s="208"/>
      <c r="L73" s="208"/>
      <c r="M73" s="208"/>
      <c r="N73" s="208"/>
      <c r="O73" s="208"/>
      <c r="P73" s="208"/>
      <c r="Q73" s="208"/>
      <c r="R73" s="209"/>
      <c r="S73" s="210" t="s">
        <v>221</v>
      </c>
      <c r="T73" s="211"/>
      <c r="U73" s="212">
        <v>1</v>
      </c>
      <c r="V73" s="213"/>
      <c r="W73" s="214"/>
      <c r="X73" s="437">
        <v>21419.34</v>
      </c>
      <c r="Y73" s="438"/>
      <c r="Z73" s="439"/>
      <c r="AA73" s="217">
        <f t="shared" ref="AA73" si="29">ROUND(X73*U73,2)</f>
        <v>21419.34</v>
      </c>
      <c r="AB73" s="218"/>
      <c r="AC73" s="218"/>
      <c r="AD73" s="219"/>
      <c r="AE73" s="220">
        <v>26480.75</v>
      </c>
      <c r="AF73" s="221"/>
      <c r="AG73" s="221"/>
      <c r="AH73" s="221">
        <f t="shared" ref="AH73" si="30">U73*AE73</f>
        <v>26480.75</v>
      </c>
      <c r="AI73" s="221"/>
      <c r="AJ73" s="221"/>
      <c r="AK73" s="221"/>
      <c r="AL73" s="221"/>
      <c r="AM73" s="222"/>
      <c r="AP73" s="38"/>
    </row>
    <row r="74" spans="1:51" ht="49.9" customHeight="1" x14ac:dyDescent="0.2">
      <c r="A74" s="101" t="s">
        <v>187</v>
      </c>
      <c r="B74" s="234">
        <v>93572</v>
      </c>
      <c r="C74" s="235"/>
      <c r="D74" s="436" t="s">
        <v>49</v>
      </c>
      <c r="E74" s="294"/>
      <c r="F74" s="207" t="s">
        <v>176</v>
      </c>
      <c r="G74" s="208"/>
      <c r="H74" s="208"/>
      <c r="I74" s="208"/>
      <c r="J74" s="208"/>
      <c r="K74" s="208"/>
      <c r="L74" s="208"/>
      <c r="M74" s="208"/>
      <c r="N74" s="208"/>
      <c r="O74" s="208"/>
      <c r="P74" s="208"/>
      <c r="Q74" s="208"/>
      <c r="R74" s="209"/>
      <c r="S74" s="210" t="s">
        <v>221</v>
      </c>
      <c r="T74" s="211"/>
      <c r="U74" s="212">
        <v>2</v>
      </c>
      <c r="V74" s="213"/>
      <c r="W74" s="214"/>
      <c r="X74" s="437">
        <v>9537.77</v>
      </c>
      <c r="Y74" s="438"/>
      <c r="Z74" s="439"/>
      <c r="AA74" s="217">
        <f t="shared" ref="AA74" si="31">ROUND(X74*U74,2)</f>
        <v>19075.54</v>
      </c>
      <c r="AB74" s="218"/>
      <c r="AC74" s="218"/>
      <c r="AD74" s="219"/>
      <c r="AE74" s="220">
        <f>ROUND(X74*(1+AI$18),2)</f>
        <v>11791.55</v>
      </c>
      <c r="AF74" s="221"/>
      <c r="AG74" s="221"/>
      <c r="AH74" s="221">
        <f t="shared" ref="AH74" si="32">U74*AE74</f>
        <v>23583.1</v>
      </c>
      <c r="AI74" s="221"/>
      <c r="AJ74" s="221"/>
      <c r="AK74" s="221"/>
      <c r="AL74" s="221"/>
      <c r="AM74" s="222"/>
      <c r="AP74" s="38"/>
    </row>
    <row r="75" spans="1:51" ht="49.9" customHeight="1" x14ac:dyDescent="0.2">
      <c r="A75" s="101"/>
      <c r="B75" s="440"/>
      <c r="C75" s="441"/>
      <c r="D75" s="442"/>
      <c r="E75" s="443"/>
      <c r="F75" s="444" t="s">
        <v>163</v>
      </c>
      <c r="G75" s="445"/>
      <c r="H75" s="445"/>
      <c r="I75" s="445"/>
      <c r="J75" s="445"/>
      <c r="K75" s="445"/>
      <c r="L75" s="445"/>
      <c r="M75" s="445"/>
      <c r="N75" s="445"/>
      <c r="O75" s="445"/>
      <c r="P75" s="445"/>
      <c r="Q75" s="445"/>
      <c r="R75" s="446"/>
      <c r="S75" s="210"/>
      <c r="T75" s="211"/>
      <c r="U75" s="212"/>
      <c r="V75" s="213"/>
      <c r="W75" s="214"/>
      <c r="X75" s="447"/>
      <c r="Y75" s="447"/>
      <c r="Z75" s="447"/>
      <c r="AA75" s="271">
        <f>AA74</f>
        <v>19075.54</v>
      </c>
      <c r="AB75" s="272"/>
      <c r="AC75" s="272"/>
      <c r="AD75" s="273"/>
      <c r="AE75" s="220"/>
      <c r="AF75" s="221"/>
      <c r="AG75" s="221"/>
      <c r="AH75" s="274">
        <f>AH73+AH74</f>
        <v>50063.85</v>
      </c>
      <c r="AI75" s="275"/>
      <c r="AJ75" s="275"/>
      <c r="AK75" s="275"/>
      <c r="AL75" s="275"/>
      <c r="AM75" s="276"/>
      <c r="AP75" s="38">
        <f>AH75</f>
        <v>50063.85</v>
      </c>
    </row>
    <row r="76" spans="1:51" ht="17.25" customHeight="1" x14ac:dyDescent="0.2">
      <c r="A76" s="108"/>
      <c r="B76" s="109"/>
      <c r="C76" s="109"/>
      <c r="D76" s="109"/>
      <c r="E76" s="109"/>
      <c r="F76" s="109"/>
      <c r="G76" s="109"/>
      <c r="H76" s="109"/>
      <c r="I76" s="109"/>
      <c r="J76" s="109"/>
      <c r="K76" s="109"/>
      <c r="L76" s="109"/>
      <c r="M76" s="109"/>
      <c r="N76" s="109"/>
      <c r="O76" s="109"/>
      <c r="P76" s="109"/>
      <c r="Q76" s="109"/>
      <c r="R76" s="109"/>
      <c r="S76" s="109"/>
      <c r="T76" s="109"/>
      <c r="U76" s="109"/>
      <c r="V76" s="109"/>
      <c r="W76" s="110" t="s">
        <v>55</v>
      </c>
      <c r="X76" s="270" t="s">
        <v>56</v>
      </c>
      <c r="Y76" s="266"/>
      <c r="Z76" s="266"/>
      <c r="AA76" s="266">
        <f>AA60+AA4+AA34+AD75</f>
        <v>87193.489999999991</v>
      </c>
      <c r="AB76" s="266"/>
      <c r="AC76" s="266"/>
      <c r="AD76" s="267"/>
      <c r="AE76" s="268" t="s">
        <v>57</v>
      </c>
      <c r="AF76" s="266"/>
      <c r="AG76" s="266"/>
      <c r="AH76" s="266">
        <f>AP75+AH71+AH60+AH54+AH46+AH34</f>
        <v>1028779.53</v>
      </c>
      <c r="AI76" s="266"/>
      <c r="AJ76" s="266"/>
      <c r="AK76" s="266"/>
      <c r="AL76" s="266"/>
      <c r="AM76" s="269"/>
    </row>
    <row r="77" spans="1:51" ht="12" customHeight="1" x14ac:dyDescent="0.2">
      <c r="A77" s="103"/>
      <c r="B77" s="80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104"/>
      <c r="AP77" s="43"/>
    </row>
    <row r="78" spans="1:51" ht="15" customHeight="1" x14ac:dyDescent="0.2">
      <c r="A78" s="105"/>
      <c r="B78" s="79"/>
      <c r="C78" s="79"/>
      <c r="D78" s="79"/>
      <c r="E78" s="256" t="s">
        <v>58</v>
      </c>
      <c r="F78" s="257"/>
      <c r="G78" s="257"/>
      <c r="H78" s="257"/>
      <c r="I78" s="257"/>
      <c r="J78" s="257"/>
      <c r="K78" s="257"/>
      <c r="L78" s="257"/>
      <c r="M78" s="257"/>
      <c r="N78" s="257"/>
      <c r="O78" s="257"/>
      <c r="P78" s="257"/>
      <c r="Q78" s="257"/>
      <c r="R78" s="257"/>
      <c r="S78" s="257"/>
      <c r="T78" s="257"/>
      <c r="U78" s="257"/>
      <c r="V78" s="257"/>
      <c r="W78" s="257"/>
      <c r="X78" s="257"/>
      <c r="Y78" s="257"/>
      <c r="Z78" s="257"/>
      <c r="AA78" s="257"/>
      <c r="AB78" s="257"/>
      <c r="AC78" s="257"/>
      <c r="AD78" s="257"/>
      <c r="AE78" s="257"/>
      <c r="AF78" s="257"/>
      <c r="AG78" s="257"/>
      <c r="AH78" s="257"/>
      <c r="AI78" s="257"/>
      <c r="AJ78" s="257"/>
      <c r="AK78" s="257"/>
      <c r="AL78" s="257"/>
      <c r="AM78" s="92"/>
      <c r="AP78" s="43"/>
      <c r="AR78" s="43"/>
    </row>
    <row r="79" spans="1:51" ht="12" customHeight="1" x14ac:dyDescent="0.2">
      <c r="A79" s="105"/>
      <c r="B79" s="79"/>
      <c r="C79" s="79"/>
      <c r="D79" s="79"/>
      <c r="E79" s="257"/>
      <c r="F79" s="257"/>
      <c r="G79" s="257"/>
      <c r="H79" s="257"/>
      <c r="I79" s="257"/>
      <c r="J79" s="257"/>
      <c r="K79" s="257"/>
      <c r="L79" s="257"/>
      <c r="M79" s="257"/>
      <c r="N79" s="257"/>
      <c r="O79" s="257"/>
      <c r="P79" s="257"/>
      <c r="Q79" s="257"/>
      <c r="R79" s="257"/>
      <c r="S79" s="257"/>
      <c r="T79" s="257"/>
      <c r="U79" s="257"/>
      <c r="V79" s="257"/>
      <c r="W79" s="257"/>
      <c r="X79" s="257"/>
      <c r="Y79" s="257"/>
      <c r="Z79" s="257"/>
      <c r="AA79" s="257"/>
      <c r="AB79" s="257"/>
      <c r="AC79" s="257"/>
      <c r="AD79" s="257"/>
      <c r="AE79" s="257"/>
      <c r="AF79" s="257"/>
      <c r="AG79" s="257"/>
      <c r="AH79" s="257"/>
      <c r="AI79" s="257"/>
      <c r="AJ79" s="257"/>
      <c r="AK79" s="257"/>
      <c r="AL79" s="257"/>
      <c r="AM79" s="92"/>
      <c r="AR79" s="43"/>
    </row>
    <row r="80" spans="1:51" ht="12" customHeight="1" x14ac:dyDescent="0.2">
      <c r="A80" s="105"/>
      <c r="B80" s="79"/>
      <c r="C80" s="79"/>
      <c r="D80" s="79"/>
      <c r="E80" s="257"/>
      <c r="F80" s="257"/>
      <c r="G80" s="257"/>
      <c r="H80" s="257"/>
      <c r="I80" s="257"/>
      <c r="J80" s="257"/>
      <c r="K80" s="257"/>
      <c r="L80" s="257"/>
      <c r="M80" s="257"/>
      <c r="N80" s="257"/>
      <c r="O80" s="257"/>
      <c r="P80" s="257"/>
      <c r="Q80" s="257"/>
      <c r="R80" s="257"/>
      <c r="S80" s="257"/>
      <c r="T80" s="257"/>
      <c r="U80" s="257"/>
      <c r="V80" s="257"/>
      <c r="W80" s="257"/>
      <c r="X80" s="257"/>
      <c r="Y80" s="257"/>
      <c r="Z80" s="257"/>
      <c r="AA80" s="257"/>
      <c r="AB80" s="257"/>
      <c r="AC80" s="257"/>
      <c r="AD80" s="257"/>
      <c r="AE80" s="257"/>
      <c r="AF80" s="257"/>
      <c r="AG80" s="257"/>
      <c r="AH80" s="257"/>
      <c r="AI80" s="257"/>
      <c r="AJ80" s="257"/>
      <c r="AK80" s="257"/>
      <c r="AL80" s="257"/>
      <c r="AM80" s="92"/>
      <c r="AR80" s="43"/>
    </row>
    <row r="81" spans="1:46" ht="12.75" x14ac:dyDescent="0.2">
      <c r="A81" s="3"/>
      <c r="B81" s="105"/>
      <c r="C81" s="79"/>
      <c r="D81" s="79"/>
      <c r="E81" s="257"/>
      <c r="F81" s="257"/>
      <c r="G81" s="257"/>
      <c r="H81" s="257"/>
      <c r="I81" s="257"/>
      <c r="J81" s="257"/>
      <c r="K81" s="257"/>
      <c r="L81" s="257"/>
      <c r="M81" s="257"/>
      <c r="N81" s="257"/>
      <c r="O81" s="257"/>
      <c r="P81" s="257"/>
      <c r="Q81" s="257"/>
      <c r="R81" s="257"/>
      <c r="S81" s="257"/>
      <c r="T81" s="257"/>
      <c r="U81" s="257"/>
      <c r="V81" s="257"/>
      <c r="W81" s="257"/>
      <c r="X81" s="257"/>
      <c r="Y81" s="257"/>
      <c r="Z81" s="257"/>
      <c r="AA81" s="257"/>
      <c r="AB81" s="257"/>
      <c r="AC81" s="257"/>
      <c r="AD81" s="257"/>
      <c r="AE81" s="257"/>
      <c r="AF81" s="257"/>
      <c r="AG81" s="257"/>
      <c r="AH81" s="257"/>
      <c r="AI81" s="257"/>
      <c r="AJ81" s="257"/>
      <c r="AK81" s="257"/>
      <c r="AL81" s="257"/>
      <c r="AM81" s="92"/>
      <c r="AP81" s="43"/>
    </row>
    <row r="82" spans="1:46" s="39" customFormat="1" ht="12" customHeight="1" x14ac:dyDescent="0.2">
      <c r="A82" s="105"/>
      <c r="B82" s="79"/>
      <c r="C82" s="79"/>
      <c r="D82" s="79"/>
      <c r="E82" s="79"/>
      <c r="F82" s="79"/>
      <c r="G82" s="79"/>
      <c r="H82" s="79"/>
      <c r="I82" s="171" t="s">
        <v>150</v>
      </c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/>
      <c r="AK82" s="79"/>
      <c r="AL82" s="79"/>
      <c r="AM82" s="175"/>
      <c r="AT82" s="40"/>
    </row>
    <row r="83" spans="1:46" ht="6" customHeight="1" x14ac:dyDescent="0.2">
      <c r="A83" s="41"/>
      <c r="B83" s="41"/>
      <c r="C83" s="41"/>
      <c r="D83" s="41"/>
      <c r="E83" s="41"/>
      <c r="F83" s="179"/>
      <c r="G83" s="41"/>
      <c r="H83" s="41"/>
      <c r="I83" s="172" t="s">
        <v>152</v>
      </c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176"/>
      <c r="AP83" s="39"/>
    </row>
    <row r="84" spans="1:46" ht="12" customHeight="1" x14ac:dyDescent="0.2">
      <c r="A84" s="41"/>
      <c r="B84" s="41"/>
      <c r="C84" s="41"/>
      <c r="D84" s="41"/>
      <c r="E84" s="41"/>
      <c r="F84" s="41"/>
      <c r="G84" s="41"/>
      <c r="H84" s="41"/>
      <c r="I84" s="172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177"/>
    </row>
    <row r="85" spans="1:46" ht="12" customHeight="1" x14ac:dyDescent="0.2">
      <c r="A85" s="41"/>
      <c r="B85" s="41"/>
      <c r="C85" s="41"/>
      <c r="D85" s="41"/>
      <c r="E85" s="41"/>
      <c r="F85" s="41"/>
      <c r="G85" s="41"/>
      <c r="H85" s="41"/>
      <c r="I85" s="172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177"/>
    </row>
    <row r="86" spans="1:46" ht="12" customHeight="1" thickBot="1" x14ac:dyDescent="0.25">
      <c r="A86" s="173" t="s">
        <v>151</v>
      </c>
      <c r="B86" s="174"/>
      <c r="C86" s="174"/>
      <c r="D86" s="174"/>
      <c r="E86" s="174"/>
      <c r="F86" s="174"/>
      <c r="G86" s="174"/>
      <c r="H86" s="174"/>
      <c r="I86" s="174"/>
      <c r="J86" s="174"/>
      <c r="K86" s="174"/>
      <c r="L86" s="174"/>
      <c r="M86" s="174"/>
      <c r="N86" s="174"/>
      <c r="O86" s="174"/>
      <c r="P86" s="174"/>
      <c r="Q86" s="174"/>
      <c r="R86" s="174"/>
      <c r="S86" s="174"/>
      <c r="T86" s="174"/>
      <c r="U86" s="174"/>
      <c r="V86" s="174"/>
      <c r="W86" s="174"/>
      <c r="X86" s="174"/>
      <c r="Y86" s="174"/>
      <c r="Z86" s="174"/>
      <c r="AA86" s="174"/>
      <c r="AB86" s="174"/>
      <c r="AC86" s="174"/>
      <c r="AD86" s="174"/>
      <c r="AE86" s="174"/>
      <c r="AF86" s="174"/>
      <c r="AG86" s="174"/>
      <c r="AH86" s="174"/>
      <c r="AI86" s="174"/>
      <c r="AJ86" s="174"/>
      <c r="AK86" s="174"/>
      <c r="AL86" s="174"/>
      <c r="AM86" s="178"/>
    </row>
    <row r="87" spans="1:46" ht="12" customHeight="1" x14ac:dyDescent="0.2">
      <c r="A87" s="41"/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41"/>
      <c r="AJ87" s="41"/>
      <c r="AK87" s="41"/>
      <c r="AL87" s="41"/>
      <c r="AM87" s="41"/>
    </row>
    <row r="88" spans="1:46" ht="12" customHeight="1" x14ac:dyDescent="0.2">
      <c r="A88" s="41"/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</row>
    <row r="89" spans="1:46" ht="12" customHeight="1" x14ac:dyDescent="0.2">
      <c r="A89" s="41"/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41"/>
      <c r="AJ89" s="41"/>
      <c r="AK89" s="41"/>
      <c r="AL89" s="41"/>
      <c r="AM89" s="41"/>
    </row>
    <row r="90" spans="1:46" ht="12" customHeight="1" x14ac:dyDescent="0.2">
      <c r="A90" s="41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41"/>
      <c r="AJ90" s="41"/>
      <c r="AK90" s="41"/>
      <c r="AL90" s="41"/>
      <c r="AM90" s="41"/>
    </row>
    <row r="91" spans="1:46" ht="12" customHeight="1" x14ac:dyDescent="0.2">
      <c r="A91" s="41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</row>
    <row r="92" spans="1:46" ht="12" customHeight="1" x14ac:dyDescent="0.2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F92" s="41"/>
      <c r="AG92" s="41"/>
      <c r="AH92" s="41"/>
      <c r="AI92" s="41"/>
      <c r="AJ92" s="41"/>
      <c r="AK92" s="41"/>
      <c r="AL92" s="41"/>
      <c r="AM92" s="41"/>
    </row>
    <row r="93" spans="1:46" ht="12" customHeight="1" x14ac:dyDescent="0.2">
      <c r="A93" s="41"/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</row>
    <row r="94" spans="1:46" ht="12" customHeight="1" x14ac:dyDescent="0.2">
      <c r="A94" s="41"/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41"/>
      <c r="AI94" s="41"/>
      <c r="AJ94" s="41"/>
      <c r="AK94" s="41"/>
      <c r="AL94" s="41"/>
      <c r="AM94" s="41"/>
    </row>
    <row r="95" spans="1:46" ht="12" customHeight="1" x14ac:dyDescent="0.2">
      <c r="A95" s="41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F95" s="41"/>
      <c r="AG95" s="41"/>
      <c r="AH95" s="41"/>
      <c r="AI95" s="41"/>
      <c r="AJ95" s="41"/>
      <c r="AK95" s="41"/>
      <c r="AL95" s="41"/>
      <c r="AM95" s="41"/>
    </row>
    <row r="96" spans="1:46" ht="12" customHeight="1" x14ac:dyDescent="0.2">
      <c r="A96" s="41"/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</row>
    <row r="97" spans="1:39" ht="12" customHeight="1" x14ac:dyDescent="0.2">
      <c r="A97" s="41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</row>
    <row r="98" spans="1:39" ht="12" customHeight="1" x14ac:dyDescent="0.2">
      <c r="A98" s="41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</row>
    <row r="99" spans="1:39" ht="12" customHeight="1" x14ac:dyDescent="0.2">
      <c r="A99" s="41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</row>
    <row r="100" spans="1:39" ht="12" customHeight="1" x14ac:dyDescent="0.2">
      <c r="A100" s="41"/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</row>
    <row r="101" spans="1:39" ht="12" customHeight="1" x14ac:dyDescent="0.2">
      <c r="A101" s="41"/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</row>
    <row r="102" spans="1:39" ht="12" customHeight="1" x14ac:dyDescent="0.2">
      <c r="A102" s="41"/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</row>
    <row r="103" spans="1:39" ht="12" customHeight="1" x14ac:dyDescent="0.2">
      <c r="A103" s="41"/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</row>
    <row r="104" spans="1:39" ht="12" customHeight="1" x14ac:dyDescent="0.2">
      <c r="A104" s="41"/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</row>
    <row r="105" spans="1:39" ht="12" customHeight="1" x14ac:dyDescent="0.2">
      <c r="A105" s="41"/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</row>
    <row r="106" spans="1:39" ht="12" customHeight="1" x14ac:dyDescent="0.2">
      <c r="A106" s="41"/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G106" s="41"/>
      <c r="AH106" s="41"/>
      <c r="AI106" s="41"/>
      <c r="AJ106" s="41"/>
      <c r="AK106" s="41"/>
      <c r="AL106" s="41"/>
      <c r="AM106" s="41"/>
    </row>
    <row r="107" spans="1:39" ht="12" customHeight="1" x14ac:dyDescent="0.2">
      <c r="A107" s="41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G107" s="41"/>
      <c r="AH107" s="41"/>
      <c r="AI107" s="41"/>
      <c r="AJ107" s="41"/>
      <c r="AK107" s="41"/>
      <c r="AL107" s="41"/>
      <c r="AM107" s="41"/>
    </row>
    <row r="108" spans="1:39" ht="12" customHeight="1" x14ac:dyDescent="0.2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1"/>
      <c r="AG108" s="41"/>
      <c r="AH108" s="41"/>
      <c r="AI108" s="41"/>
      <c r="AJ108" s="41"/>
      <c r="AK108" s="41"/>
      <c r="AL108" s="41"/>
      <c r="AM108" s="41"/>
    </row>
    <row r="109" spans="1:39" ht="12" customHeight="1" x14ac:dyDescent="0.2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/>
      <c r="AK109" s="41"/>
      <c r="AL109" s="41"/>
      <c r="AM109" s="41"/>
    </row>
    <row r="110" spans="1:39" ht="12" customHeight="1" x14ac:dyDescent="0.2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1"/>
      <c r="AG110" s="41"/>
      <c r="AH110" s="41"/>
      <c r="AI110" s="41"/>
      <c r="AJ110" s="41"/>
      <c r="AK110" s="41"/>
      <c r="AL110" s="41"/>
      <c r="AM110" s="41"/>
    </row>
    <row r="111" spans="1:39" ht="12" customHeight="1" x14ac:dyDescent="0.2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1"/>
      <c r="AG111" s="41"/>
      <c r="AH111" s="41"/>
      <c r="AI111" s="41"/>
      <c r="AJ111" s="41"/>
      <c r="AK111" s="41"/>
      <c r="AL111" s="41"/>
      <c r="AM111" s="41"/>
    </row>
    <row r="112" spans="1:39" ht="12" customHeight="1" x14ac:dyDescent="0.2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1"/>
      <c r="AG112" s="41"/>
      <c r="AH112" s="41"/>
      <c r="AI112" s="41"/>
      <c r="AJ112" s="41"/>
      <c r="AK112" s="41"/>
      <c r="AL112" s="41"/>
      <c r="AM112" s="41"/>
    </row>
    <row r="113" spans="1:39" ht="12" customHeight="1" x14ac:dyDescent="0.2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1"/>
      <c r="AG113" s="41"/>
      <c r="AH113" s="41"/>
      <c r="AI113" s="41"/>
      <c r="AJ113" s="41"/>
      <c r="AK113" s="41"/>
      <c r="AL113" s="41"/>
      <c r="AM113" s="41"/>
    </row>
    <row r="114" spans="1:39" ht="12" customHeight="1" x14ac:dyDescent="0.2">
      <c r="A114" s="41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1"/>
      <c r="AG114" s="41"/>
      <c r="AH114" s="41"/>
      <c r="AI114" s="41"/>
      <c r="AJ114" s="41"/>
      <c r="AK114" s="41"/>
      <c r="AL114" s="41"/>
      <c r="AM114" s="41"/>
    </row>
    <row r="115" spans="1:39" ht="12" customHeight="1" x14ac:dyDescent="0.2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1"/>
      <c r="AG115" s="41"/>
      <c r="AH115" s="41"/>
      <c r="AI115" s="41"/>
      <c r="AJ115" s="41"/>
      <c r="AK115" s="41"/>
      <c r="AL115" s="41"/>
      <c r="AM115" s="41"/>
    </row>
    <row r="116" spans="1:39" ht="12" customHeight="1" x14ac:dyDescent="0.2">
      <c r="A116" s="41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1"/>
      <c r="AG116" s="41"/>
      <c r="AH116" s="41"/>
      <c r="AI116" s="41"/>
      <c r="AJ116" s="41"/>
      <c r="AK116" s="41"/>
      <c r="AL116" s="41"/>
      <c r="AM116" s="41"/>
    </row>
    <row r="117" spans="1:39" ht="12" customHeight="1" x14ac:dyDescent="0.2">
      <c r="A117" s="41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F117" s="41"/>
      <c r="AG117" s="41"/>
      <c r="AH117" s="41"/>
      <c r="AI117" s="41"/>
      <c r="AJ117" s="41"/>
      <c r="AK117" s="41"/>
      <c r="AL117" s="41"/>
      <c r="AM117" s="41"/>
    </row>
    <row r="118" spans="1:39" ht="12" customHeight="1" x14ac:dyDescent="0.2">
      <c r="A118" s="41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F118" s="41"/>
      <c r="AG118" s="41"/>
      <c r="AH118" s="41"/>
      <c r="AI118" s="41"/>
      <c r="AJ118" s="41"/>
      <c r="AK118" s="41"/>
      <c r="AL118" s="41"/>
      <c r="AM118" s="41"/>
    </row>
    <row r="119" spans="1:39" ht="12" customHeight="1" x14ac:dyDescent="0.2">
      <c r="A119" s="41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F119" s="41"/>
      <c r="AG119" s="41"/>
      <c r="AH119" s="41"/>
      <c r="AI119" s="41"/>
      <c r="AJ119" s="41"/>
      <c r="AK119" s="41"/>
      <c r="AL119" s="41"/>
      <c r="AM119" s="41"/>
    </row>
    <row r="120" spans="1:39" ht="12" customHeight="1" x14ac:dyDescent="0.2">
      <c r="A120" s="41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F120" s="41"/>
      <c r="AG120" s="41"/>
      <c r="AH120" s="41"/>
      <c r="AI120" s="41"/>
      <c r="AJ120" s="41"/>
      <c r="AK120" s="41"/>
      <c r="AL120" s="41"/>
      <c r="AM120" s="41"/>
    </row>
    <row r="121" spans="1:39" ht="12" customHeight="1" x14ac:dyDescent="0.2">
      <c r="A121" s="41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F121" s="41"/>
      <c r="AG121" s="41"/>
      <c r="AH121" s="41"/>
      <c r="AI121" s="41"/>
      <c r="AJ121" s="41"/>
      <c r="AK121" s="41"/>
      <c r="AL121" s="41"/>
      <c r="AM121" s="41"/>
    </row>
    <row r="122" spans="1:39" ht="12" customHeight="1" x14ac:dyDescent="0.2">
      <c r="A122" s="41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F122" s="41"/>
      <c r="AG122" s="41"/>
      <c r="AH122" s="41"/>
      <c r="AI122" s="41"/>
      <c r="AJ122" s="41"/>
      <c r="AK122" s="41"/>
      <c r="AL122" s="41"/>
      <c r="AM122" s="41"/>
    </row>
    <row r="123" spans="1:39" ht="12" customHeight="1" x14ac:dyDescent="0.2">
      <c r="A123" s="41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F123" s="41"/>
      <c r="AG123" s="41"/>
      <c r="AH123" s="41"/>
      <c r="AI123" s="41"/>
      <c r="AJ123" s="41"/>
      <c r="AK123" s="41"/>
      <c r="AL123" s="41"/>
      <c r="AM123" s="41"/>
    </row>
    <row r="124" spans="1:39" ht="12" customHeight="1" x14ac:dyDescent="0.2">
      <c r="A124" s="41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F124" s="41"/>
      <c r="AG124" s="41"/>
      <c r="AH124" s="41"/>
      <c r="AI124" s="41"/>
      <c r="AJ124" s="41"/>
      <c r="AK124" s="41"/>
      <c r="AL124" s="41"/>
      <c r="AM124" s="41"/>
    </row>
  </sheetData>
  <mergeCells count="475">
    <mergeCell ref="B69:C69"/>
    <mergeCell ref="D69:E69"/>
    <mergeCell ref="F69:R69"/>
    <mergeCell ref="S69:T69"/>
    <mergeCell ref="U69:W69"/>
    <mergeCell ref="X69:Z69"/>
    <mergeCell ref="AA69:AD69"/>
    <mergeCell ref="AE69:AG69"/>
    <mergeCell ref="AH69:AM69"/>
    <mergeCell ref="B68:C68"/>
    <mergeCell ref="D68:E68"/>
    <mergeCell ref="F68:R68"/>
    <mergeCell ref="S68:T68"/>
    <mergeCell ref="U68:W68"/>
    <mergeCell ref="X68:Z68"/>
    <mergeCell ref="AA68:AD68"/>
    <mergeCell ref="AE68:AG68"/>
    <mergeCell ref="AH68:AM68"/>
    <mergeCell ref="B33:C33"/>
    <mergeCell ref="D33:E33"/>
    <mergeCell ref="F33:R33"/>
    <mergeCell ref="S33:T33"/>
    <mergeCell ref="U33:W33"/>
    <mergeCell ref="X33:Z33"/>
    <mergeCell ref="AA33:AD33"/>
    <mergeCell ref="AE33:AG33"/>
    <mergeCell ref="AH33:AM33"/>
    <mergeCell ref="B58:C58"/>
    <mergeCell ref="D58:E58"/>
    <mergeCell ref="F58:R58"/>
    <mergeCell ref="S58:T58"/>
    <mergeCell ref="U58:W58"/>
    <mergeCell ref="X58:Z58"/>
    <mergeCell ref="AA58:AD58"/>
    <mergeCell ref="AE58:AG58"/>
    <mergeCell ref="AH58:AM58"/>
    <mergeCell ref="AE42:AG42"/>
    <mergeCell ref="AH42:AM42"/>
    <mergeCell ref="B41:C41"/>
    <mergeCell ref="D41:E41"/>
    <mergeCell ref="F41:R41"/>
    <mergeCell ref="S41:T41"/>
    <mergeCell ref="U41:W41"/>
    <mergeCell ref="X41:Z41"/>
    <mergeCell ref="AA41:AD41"/>
    <mergeCell ref="AE41:AG41"/>
    <mergeCell ref="AH41:AM41"/>
    <mergeCell ref="B70:C70"/>
    <mergeCell ref="D70:E70"/>
    <mergeCell ref="F70:R70"/>
    <mergeCell ref="S70:T70"/>
    <mergeCell ref="U70:W70"/>
    <mergeCell ref="X70:Z70"/>
    <mergeCell ref="AA70:AD70"/>
    <mergeCell ref="AE70:AG70"/>
    <mergeCell ref="AH70:AM70"/>
    <mergeCell ref="B67:C67"/>
    <mergeCell ref="D67:E67"/>
    <mergeCell ref="F67:R67"/>
    <mergeCell ref="S67:T67"/>
    <mergeCell ref="U67:W67"/>
    <mergeCell ref="X67:Z67"/>
    <mergeCell ref="AA67:AD67"/>
    <mergeCell ref="AE67:AG67"/>
    <mergeCell ref="AH67:AM67"/>
    <mergeCell ref="B66:C66"/>
    <mergeCell ref="D66:E66"/>
    <mergeCell ref="F66:R66"/>
    <mergeCell ref="S66:T66"/>
    <mergeCell ref="U66:W66"/>
    <mergeCell ref="X66:Z66"/>
    <mergeCell ref="AA66:AD66"/>
    <mergeCell ref="AE66:AG66"/>
    <mergeCell ref="AH66:AM66"/>
    <mergeCell ref="B73:C73"/>
    <mergeCell ref="D73:E73"/>
    <mergeCell ref="F73:R73"/>
    <mergeCell ref="S73:T73"/>
    <mergeCell ref="U73:W73"/>
    <mergeCell ref="X73:Z73"/>
    <mergeCell ref="AA73:AD73"/>
    <mergeCell ref="AE73:AG73"/>
    <mergeCell ref="AH73:AM73"/>
    <mergeCell ref="B57:C57"/>
    <mergeCell ref="D57:E57"/>
    <mergeCell ref="F57:R57"/>
    <mergeCell ref="S57:T57"/>
    <mergeCell ref="U57:W57"/>
    <mergeCell ref="X57:Z57"/>
    <mergeCell ref="AA57:AD57"/>
    <mergeCell ref="AE57:AG57"/>
    <mergeCell ref="AH57:AM57"/>
    <mergeCell ref="B52:C52"/>
    <mergeCell ref="D52:E52"/>
    <mergeCell ref="F52:R52"/>
    <mergeCell ref="S52:T52"/>
    <mergeCell ref="U52:W52"/>
    <mergeCell ref="X52:Z52"/>
    <mergeCell ref="AA52:AD52"/>
    <mergeCell ref="AE52:AG52"/>
    <mergeCell ref="AH52:AM52"/>
    <mergeCell ref="B51:C51"/>
    <mergeCell ref="D51:E51"/>
    <mergeCell ref="F51:R51"/>
    <mergeCell ref="S51:T51"/>
    <mergeCell ref="U51:W51"/>
    <mergeCell ref="X51:Z51"/>
    <mergeCell ref="AA51:AD51"/>
    <mergeCell ref="AE51:AG51"/>
    <mergeCell ref="AH51:AM51"/>
    <mergeCell ref="B75:C75"/>
    <mergeCell ref="D75:E75"/>
    <mergeCell ref="F75:R75"/>
    <mergeCell ref="S75:T75"/>
    <mergeCell ref="U75:W75"/>
    <mergeCell ref="X75:Z75"/>
    <mergeCell ref="AA75:AD75"/>
    <mergeCell ref="AE75:AG75"/>
    <mergeCell ref="AH75:AM75"/>
    <mergeCell ref="B74:C74"/>
    <mergeCell ref="D74:E74"/>
    <mergeCell ref="F74:R74"/>
    <mergeCell ref="S74:T74"/>
    <mergeCell ref="U74:W74"/>
    <mergeCell ref="X74:Z74"/>
    <mergeCell ref="AA74:AD74"/>
    <mergeCell ref="AE74:AG74"/>
    <mergeCell ref="AH74:AM74"/>
    <mergeCell ref="B72:C72"/>
    <mergeCell ref="D72:E72"/>
    <mergeCell ref="F72:R72"/>
    <mergeCell ref="S72:T72"/>
    <mergeCell ref="U72:W72"/>
    <mergeCell ref="X72:Z72"/>
    <mergeCell ref="AA72:AD72"/>
    <mergeCell ref="AE72:AG72"/>
    <mergeCell ref="AH72:AM72"/>
    <mergeCell ref="B71:C71"/>
    <mergeCell ref="D71:E71"/>
    <mergeCell ref="F71:R71"/>
    <mergeCell ref="S71:T71"/>
    <mergeCell ref="U71:W71"/>
    <mergeCell ref="X71:Z71"/>
    <mergeCell ref="AA71:AD71"/>
    <mergeCell ref="AE71:AG71"/>
    <mergeCell ref="AH71:AM71"/>
    <mergeCell ref="AE37:AG37"/>
    <mergeCell ref="AA39:AD39"/>
    <mergeCell ref="AE39:AG39"/>
    <mergeCell ref="B36:C36"/>
    <mergeCell ref="D36:E36"/>
    <mergeCell ref="U37:W37"/>
    <mergeCell ref="X37:Z37"/>
    <mergeCell ref="B39:C39"/>
    <mergeCell ref="D39:E39"/>
    <mergeCell ref="F39:R39"/>
    <mergeCell ref="S39:T39"/>
    <mergeCell ref="U39:W39"/>
    <mergeCell ref="X39:Z39"/>
    <mergeCell ref="B38:C38"/>
    <mergeCell ref="D38:E38"/>
    <mergeCell ref="F38:R38"/>
    <mergeCell ref="S38:T38"/>
    <mergeCell ref="U38:W38"/>
    <mergeCell ref="X38:Z38"/>
    <mergeCell ref="AA38:AD38"/>
    <mergeCell ref="AH47:AM47"/>
    <mergeCell ref="AH48:AM48"/>
    <mergeCell ref="D32:E32"/>
    <mergeCell ref="F32:R32"/>
    <mergeCell ref="S32:T32"/>
    <mergeCell ref="U32:W32"/>
    <mergeCell ref="X32:Z32"/>
    <mergeCell ref="AA32:AD32"/>
    <mergeCell ref="AE32:AG32"/>
    <mergeCell ref="AH32:AM32"/>
    <mergeCell ref="D35:E35"/>
    <mergeCell ref="F35:R35"/>
    <mergeCell ref="S35:T35"/>
    <mergeCell ref="U35:W35"/>
    <mergeCell ref="AE35:AG35"/>
    <mergeCell ref="AA36:AD36"/>
    <mergeCell ref="AE36:AG36"/>
    <mergeCell ref="AE38:AG38"/>
    <mergeCell ref="X42:Z42"/>
    <mergeCell ref="AA42:AD42"/>
    <mergeCell ref="AE47:AG47"/>
    <mergeCell ref="F48:R48"/>
    <mergeCell ref="S48:T48"/>
    <mergeCell ref="AE40:AG40"/>
    <mergeCell ref="AW34:AY34"/>
    <mergeCell ref="AW35:AY35"/>
    <mergeCell ref="AW36:AY36"/>
    <mergeCell ref="AH40:AM40"/>
    <mergeCell ref="AH39:AM39"/>
    <mergeCell ref="AH46:AM46"/>
    <mergeCell ref="AH45:AM45"/>
    <mergeCell ref="AH35:AM35"/>
    <mergeCell ref="AH36:AM36"/>
    <mergeCell ref="AH38:AM38"/>
    <mergeCell ref="AH37:AM37"/>
    <mergeCell ref="AW39:AY39"/>
    <mergeCell ref="AW61:AY61"/>
    <mergeCell ref="AW40:AY40"/>
    <mergeCell ref="AW46:AY46"/>
    <mergeCell ref="AW54:AY54"/>
    <mergeCell ref="AW55:AY55"/>
    <mergeCell ref="AW59:AY59"/>
    <mergeCell ref="AW60:AY60"/>
    <mergeCell ref="A14:V14"/>
    <mergeCell ref="W14:AE14"/>
    <mergeCell ref="AF14:AM14"/>
    <mergeCell ref="P18:W19"/>
    <mergeCell ref="X18:AH19"/>
    <mergeCell ref="AI18:AM19"/>
    <mergeCell ref="K20:L20"/>
    <mergeCell ref="A27:A29"/>
    <mergeCell ref="F27:R29"/>
    <mergeCell ref="S27:T29"/>
    <mergeCell ref="U27:W29"/>
    <mergeCell ref="X27:AM27"/>
    <mergeCell ref="A18:O19"/>
    <mergeCell ref="V24:W24"/>
    <mergeCell ref="D28:E28"/>
    <mergeCell ref="X28:AD28"/>
    <mergeCell ref="AW31:AY31"/>
    <mergeCell ref="AW30:AY30"/>
    <mergeCell ref="A2:AM3"/>
    <mergeCell ref="A5:X5"/>
    <mergeCell ref="AD5:AM5"/>
    <mergeCell ref="A8:AC8"/>
    <mergeCell ref="AD8:AM8"/>
    <mergeCell ref="A11:V11"/>
    <mergeCell ref="W11:AK11"/>
    <mergeCell ref="AL11:AM11"/>
    <mergeCell ref="X20:AM25"/>
    <mergeCell ref="K21:L21"/>
    <mergeCell ref="N21:O21"/>
    <mergeCell ref="V21:W21"/>
    <mergeCell ref="K22:L22"/>
    <mergeCell ref="N22:O22"/>
    <mergeCell ref="V22:W22"/>
    <mergeCell ref="K23:L23"/>
    <mergeCell ref="N20:O20"/>
    <mergeCell ref="V20:W20"/>
    <mergeCell ref="N23:O23"/>
    <mergeCell ref="V23:W23"/>
    <mergeCell ref="K24:L24"/>
    <mergeCell ref="N24:O24"/>
    <mergeCell ref="AR27:AS27"/>
    <mergeCell ref="B30:C30"/>
    <mergeCell ref="D30:E30"/>
    <mergeCell ref="F30:R30"/>
    <mergeCell ref="S30:T30"/>
    <mergeCell ref="U30:W30"/>
    <mergeCell ref="X30:Z30"/>
    <mergeCell ref="AA30:AD30"/>
    <mergeCell ref="AE28:AM28"/>
    <mergeCell ref="X29:Z29"/>
    <mergeCell ref="AA29:AD29"/>
    <mergeCell ref="AE29:AG29"/>
    <mergeCell ref="AH29:AM29"/>
    <mergeCell ref="J25:O25"/>
    <mergeCell ref="V25:W25"/>
    <mergeCell ref="F34:R34"/>
    <mergeCell ref="X34:Z34"/>
    <mergeCell ref="AA34:AD34"/>
    <mergeCell ref="AE34:AG34"/>
    <mergeCell ref="AH34:AM34"/>
    <mergeCell ref="AE30:AG30"/>
    <mergeCell ref="AH30:AM30"/>
    <mergeCell ref="AH31:AM31"/>
    <mergeCell ref="B31:C31"/>
    <mergeCell ref="D31:E31"/>
    <mergeCell ref="F31:R31"/>
    <mergeCell ref="S31:T31"/>
    <mergeCell ref="U31:W31"/>
    <mergeCell ref="X31:Z31"/>
    <mergeCell ref="AA31:AD31"/>
    <mergeCell ref="AE31:AG31"/>
    <mergeCell ref="B32:C32"/>
    <mergeCell ref="AH55:AM55"/>
    <mergeCell ref="B55:C55"/>
    <mergeCell ref="D55:E55"/>
    <mergeCell ref="F55:R55"/>
    <mergeCell ref="S55:T55"/>
    <mergeCell ref="U55:W55"/>
    <mergeCell ref="X55:Z55"/>
    <mergeCell ref="AA55:AD55"/>
    <mergeCell ref="B54:C54"/>
    <mergeCell ref="D54:E54"/>
    <mergeCell ref="F54:R54"/>
    <mergeCell ref="S54:T54"/>
    <mergeCell ref="U54:W54"/>
    <mergeCell ref="X54:Z54"/>
    <mergeCell ref="AH54:AM54"/>
    <mergeCell ref="B60:C60"/>
    <mergeCell ref="D60:E60"/>
    <mergeCell ref="F60:R60"/>
    <mergeCell ref="S60:T60"/>
    <mergeCell ref="F59:R59"/>
    <mergeCell ref="S59:T59"/>
    <mergeCell ref="B59:C59"/>
    <mergeCell ref="D59:E59"/>
    <mergeCell ref="AW62:AY62"/>
    <mergeCell ref="D62:E62"/>
    <mergeCell ref="F62:R62"/>
    <mergeCell ref="S62:T62"/>
    <mergeCell ref="U62:W62"/>
    <mergeCell ref="X62:Z62"/>
    <mergeCell ref="AA62:AD62"/>
    <mergeCell ref="AE62:AG62"/>
    <mergeCell ref="AH62:AM62"/>
    <mergeCell ref="AA61:AD61"/>
    <mergeCell ref="AE61:AG61"/>
    <mergeCell ref="AH61:AM61"/>
    <mergeCell ref="B62:C62"/>
    <mergeCell ref="B61:C61"/>
    <mergeCell ref="D61:E61"/>
    <mergeCell ref="F61:R61"/>
    <mergeCell ref="D49:E49"/>
    <mergeCell ref="F49:R49"/>
    <mergeCell ref="S49:T49"/>
    <mergeCell ref="U49:W49"/>
    <mergeCell ref="X49:Z49"/>
    <mergeCell ref="AA49:AD49"/>
    <mergeCell ref="X45:Z45"/>
    <mergeCell ref="U48:W48"/>
    <mergeCell ref="B48:C48"/>
    <mergeCell ref="D48:E48"/>
    <mergeCell ref="AA48:AD48"/>
    <mergeCell ref="X48:Z48"/>
    <mergeCell ref="U46:W46"/>
    <mergeCell ref="X46:Z46"/>
    <mergeCell ref="AA46:AD46"/>
    <mergeCell ref="B47:C47"/>
    <mergeCell ref="D47:E47"/>
    <mergeCell ref="F47:R47"/>
    <mergeCell ref="S47:T47"/>
    <mergeCell ref="U47:W47"/>
    <mergeCell ref="X47:Z47"/>
    <mergeCell ref="AA47:AD47"/>
    <mergeCell ref="B45:C45"/>
    <mergeCell ref="D45:E45"/>
    <mergeCell ref="F45:R45"/>
    <mergeCell ref="S45:T45"/>
    <mergeCell ref="U40:W40"/>
    <mergeCell ref="X40:Z40"/>
    <mergeCell ref="B40:C40"/>
    <mergeCell ref="D40:E40"/>
    <mergeCell ref="F40:R40"/>
    <mergeCell ref="S40:T40"/>
    <mergeCell ref="B42:C42"/>
    <mergeCell ref="D42:E42"/>
    <mergeCell ref="F42:R42"/>
    <mergeCell ref="S42:T42"/>
    <mergeCell ref="U42:W42"/>
    <mergeCell ref="X35:Z35"/>
    <mergeCell ref="AA35:AD35"/>
    <mergeCell ref="AA37:AD37"/>
    <mergeCell ref="F36:R36"/>
    <mergeCell ref="S36:T36"/>
    <mergeCell ref="U36:W36"/>
    <mergeCell ref="X36:Z36"/>
    <mergeCell ref="B35:C35"/>
    <mergeCell ref="AA40:AD40"/>
    <mergeCell ref="B37:C37"/>
    <mergeCell ref="D37:E37"/>
    <mergeCell ref="F37:R37"/>
    <mergeCell ref="S37:T37"/>
    <mergeCell ref="AH49:AM49"/>
    <mergeCell ref="B43:C43"/>
    <mergeCell ref="D43:E43"/>
    <mergeCell ref="F43:R43"/>
    <mergeCell ref="S43:T43"/>
    <mergeCell ref="U43:W43"/>
    <mergeCell ref="X43:Z43"/>
    <mergeCell ref="AA43:AD43"/>
    <mergeCell ref="AE43:AG43"/>
    <mergeCell ref="AH43:AM43"/>
    <mergeCell ref="B44:C44"/>
    <mergeCell ref="D44:E44"/>
    <mergeCell ref="F44:R44"/>
    <mergeCell ref="S44:T44"/>
    <mergeCell ref="U44:W44"/>
    <mergeCell ref="X44:Z44"/>
    <mergeCell ref="AA44:AD44"/>
    <mergeCell ref="AE44:AG44"/>
    <mergeCell ref="AH44:AM44"/>
    <mergeCell ref="B49:C49"/>
    <mergeCell ref="U45:W45"/>
    <mergeCell ref="AE48:AG48"/>
    <mergeCell ref="AE45:AG45"/>
    <mergeCell ref="AA45:AD45"/>
    <mergeCell ref="D50:E50"/>
    <mergeCell ref="AH53:AM53"/>
    <mergeCell ref="E78:AL81"/>
    <mergeCell ref="X59:Z59"/>
    <mergeCell ref="X60:Z60"/>
    <mergeCell ref="S61:T61"/>
    <mergeCell ref="U61:W61"/>
    <mergeCell ref="X61:Z61"/>
    <mergeCell ref="AA59:AD59"/>
    <mergeCell ref="AA76:AD76"/>
    <mergeCell ref="AE76:AG76"/>
    <mergeCell ref="AH76:AM76"/>
    <mergeCell ref="X76:Z76"/>
    <mergeCell ref="U60:W60"/>
    <mergeCell ref="U59:W59"/>
    <mergeCell ref="AE59:AG59"/>
    <mergeCell ref="AA60:AD60"/>
    <mergeCell ref="AE60:AG60"/>
    <mergeCell ref="AH59:AM59"/>
    <mergeCell ref="AH60:AM60"/>
    <mergeCell ref="AH63:AM63"/>
    <mergeCell ref="AE55:AG55"/>
    <mergeCell ref="AA54:AD54"/>
    <mergeCell ref="AE54:AG54"/>
    <mergeCell ref="AH64:AM64"/>
    <mergeCell ref="AE46:AG46"/>
    <mergeCell ref="B46:C46"/>
    <mergeCell ref="D46:E46"/>
    <mergeCell ref="F46:R46"/>
    <mergeCell ref="S46:T46"/>
    <mergeCell ref="B63:C63"/>
    <mergeCell ref="D63:E63"/>
    <mergeCell ref="F63:R63"/>
    <mergeCell ref="S63:T63"/>
    <mergeCell ref="U63:W63"/>
    <mergeCell ref="X63:Z63"/>
    <mergeCell ref="AA63:AD63"/>
    <mergeCell ref="AE63:AG63"/>
    <mergeCell ref="B53:C53"/>
    <mergeCell ref="D53:E53"/>
    <mergeCell ref="F53:R53"/>
    <mergeCell ref="S53:T53"/>
    <mergeCell ref="U53:W53"/>
    <mergeCell ref="X53:Z53"/>
    <mergeCell ref="AA53:AD53"/>
    <mergeCell ref="AE53:AG53"/>
    <mergeCell ref="AE49:AG49"/>
    <mergeCell ref="B50:C50"/>
    <mergeCell ref="F50:R50"/>
    <mergeCell ref="S50:T50"/>
    <mergeCell ref="U50:W50"/>
    <mergeCell ref="X50:Z50"/>
    <mergeCell ref="AA50:AD50"/>
    <mergeCell ref="AE50:AG50"/>
    <mergeCell ref="AH50:AM50"/>
    <mergeCell ref="B65:C65"/>
    <mergeCell ref="D65:E65"/>
    <mergeCell ref="F65:R65"/>
    <mergeCell ref="S65:T65"/>
    <mergeCell ref="U65:W65"/>
    <mergeCell ref="X65:Z65"/>
    <mergeCell ref="AA65:AD65"/>
    <mergeCell ref="AE65:AG65"/>
    <mergeCell ref="AH65:AM65"/>
    <mergeCell ref="B64:C64"/>
    <mergeCell ref="D64:E64"/>
    <mergeCell ref="F64:R64"/>
    <mergeCell ref="S64:T64"/>
    <mergeCell ref="U64:W64"/>
    <mergeCell ref="X64:Z64"/>
    <mergeCell ref="AA64:AD64"/>
    <mergeCell ref="AE64:AG64"/>
    <mergeCell ref="B56:C56"/>
    <mergeCell ref="D56:E56"/>
    <mergeCell ref="F56:R56"/>
    <mergeCell ref="S56:T56"/>
    <mergeCell ref="U56:W56"/>
    <mergeCell ref="X56:Z56"/>
    <mergeCell ref="AA56:AD56"/>
    <mergeCell ref="AE56:AG56"/>
    <mergeCell ref="AH56:AM56"/>
  </mergeCells>
  <phoneticPr fontId="34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47" fitToHeight="0" orientation="portrait" r:id="rId1"/>
  <ignoredErrors>
    <ignoredError sqref="AA35:AG35 V59:W59 AA59:AD59 AA61:AG61 V31:W31 AA31:AD31 V39:W39 V36:W36 AA36:AD36 AA55:AG55 AA39:AD39 U55:W55 U61:W61 U60:W60 U34:W34 AF31:AG31 AF36:AG36 AF39:AG39 AF59:AG59 AB34:AG34 AB46:AG46 AB60:AG60 U35:W35 U46:W46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A8" sqref="A8"/>
    </sheetView>
  </sheetViews>
  <sheetFormatPr defaultRowHeight="12.75" x14ac:dyDescent="0.2"/>
  <cols>
    <col min="1" max="1" width="6.42578125" customWidth="1"/>
    <col min="2" max="2" width="45.140625" customWidth="1"/>
    <col min="3" max="3" width="9.28515625" customWidth="1"/>
    <col min="4" max="4" width="14.7109375" customWidth="1"/>
    <col min="5" max="5" width="12.140625" customWidth="1"/>
    <col min="6" max="6" width="12.42578125" bestFit="1" customWidth="1"/>
    <col min="7" max="7" width="12.42578125" customWidth="1"/>
    <col min="8" max="8" width="12.85546875" customWidth="1"/>
    <col min="9" max="9" width="12.28515625" bestFit="1" customWidth="1"/>
  </cols>
  <sheetData>
    <row r="1" spans="1:9" ht="13.5" thickBot="1" x14ac:dyDescent="0.25">
      <c r="A1" s="125"/>
      <c r="B1" s="126"/>
      <c r="C1" s="127"/>
      <c r="D1" s="127"/>
      <c r="E1" s="126"/>
      <c r="F1" s="126"/>
      <c r="G1" s="126"/>
      <c r="H1" s="128"/>
      <c r="I1" s="182"/>
    </row>
    <row r="2" spans="1:9" ht="13.5" thickBot="1" x14ac:dyDescent="0.25">
      <c r="A2" s="473" t="s">
        <v>65</v>
      </c>
      <c r="B2" s="474"/>
      <c r="C2" s="474"/>
      <c r="D2" s="474"/>
      <c r="E2" s="474"/>
      <c r="F2" s="474"/>
      <c r="G2" s="475"/>
      <c r="H2" s="475"/>
      <c r="I2" s="194"/>
    </row>
    <row r="3" spans="1:9" x14ac:dyDescent="0.2">
      <c r="A3" s="476"/>
      <c r="B3" s="477"/>
      <c r="C3" s="477"/>
      <c r="D3" s="477"/>
      <c r="E3" s="477"/>
      <c r="F3" s="477"/>
      <c r="G3" s="477"/>
      <c r="H3" s="477"/>
      <c r="I3" s="192"/>
    </row>
    <row r="4" spans="1:9" x14ac:dyDescent="0.2">
      <c r="A4" s="129"/>
      <c r="B4" s="130"/>
      <c r="C4" s="131"/>
      <c r="D4" s="131"/>
      <c r="E4" s="130"/>
      <c r="F4" s="130"/>
      <c r="G4" s="130"/>
      <c r="H4" s="130"/>
      <c r="I4" s="192"/>
    </row>
    <row r="5" spans="1:9" ht="13.5" thickBot="1" x14ac:dyDescent="0.25">
      <c r="A5" s="473" t="s">
        <v>124</v>
      </c>
      <c r="B5" s="474"/>
      <c r="C5" s="474"/>
      <c r="D5" s="474"/>
      <c r="E5" s="474"/>
      <c r="F5" s="474"/>
      <c r="G5" s="475"/>
      <c r="H5" s="475"/>
      <c r="I5" s="195"/>
    </row>
    <row r="6" spans="1:9" x14ac:dyDescent="0.2">
      <c r="A6" s="478" t="s">
        <v>125</v>
      </c>
      <c r="B6" s="479"/>
      <c r="C6" s="480"/>
      <c r="D6" s="480"/>
      <c r="E6" s="480"/>
      <c r="F6" s="480"/>
      <c r="G6" s="480"/>
      <c r="H6" s="480"/>
      <c r="I6" s="196"/>
    </row>
    <row r="7" spans="1:9" ht="13.5" thickBot="1" x14ac:dyDescent="0.25">
      <c r="A7" s="468" t="str">
        <f>PLANILHA!A11</f>
        <v>Pavimentação e Melhoria de Vias no Município de Papagaios-MG</v>
      </c>
      <c r="B7" s="469"/>
      <c r="C7" s="470" t="s">
        <v>135</v>
      </c>
      <c r="D7" s="471"/>
      <c r="E7" s="471"/>
      <c r="F7" s="471"/>
      <c r="G7" s="471"/>
      <c r="H7" s="471"/>
      <c r="I7" s="195"/>
    </row>
    <row r="8" spans="1:9" ht="33.75" x14ac:dyDescent="0.2">
      <c r="A8" s="132" t="s">
        <v>0</v>
      </c>
      <c r="B8" s="133" t="s">
        <v>126</v>
      </c>
      <c r="C8" s="134" t="s">
        <v>127</v>
      </c>
      <c r="D8" s="134" t="s">
        <v>128</v>
      </c>
      <c r="E8" s="133" t="s">
        <v>129</v>
      </c>
      <c r="F8" s="133" t="s">
        <v>130</v>
      </c>
      <c r="G8" s="135" t="s">
        <v>131</v>
      </c>
      <c r="H8" s="181" t="s">
        <v>149</v>
      </c>
      <c r="I8" s="197" t="s">
        <v>134</v>
      </c>
    </row>
    <row r="9" spans="1:9" ht="12.75" customHeight="1" x14ac:dyDescent="0.2">
      <c r="A9" s="472">
        <v>1</v>
      </c>
      <c r="B9" s="461" t="s">
        <v>60</v>
      </c>
      <c r="C9" s="136" t="s">
        <v>132</v>
      </c>
      <c r="D9" s="137">
        <v>1</v>
      </c>
      <c r="E9" s="137">
        <v>1</v>
      </c>
      <c r="F9" s="137"/>
      <c r="G9" s="138"/>
      <c r="H9" s="183"/>
      <c r="I9" s="198">
        <f>D9</f>
        <v>1</v>
      </c>
    </row>
    <row r="10" spans="1:9" ht="12.75" customHeight="1" x14ac:dyDescent="0.2">
      <c r="A10" s="467"/>
      <c r="B10" s="461"/>
      <c r="C10" s="139" t="s">
        <v>133</v>
      </c>
      <c r="D10" s="140">
        <f>PLANILHA!AH34</f>
        <v>9461.36</v>
      </c>
      <c r="E10" s="140">
        <f>D10</f>
        <v>9461.36</v>
      </c>
      <c r="F10" s="140"/>
      <c r="G10" s="141"/>
      <c r="H10" s="184"/>
      <c r="I10" s="200">
        <f>D10</f>
        <v>9461.36</v>
      </c>
    </row>
    <row r="11" spans="1:9" ht="12.75" customHeight="1" x14ac:dyDescent="0.2">
      <c r="A11" s="466">
        <v>2</v>
      </c>
      <c r="B11" s="461" t="s">
        <v>136</v>
      </c>
      <c r="C11" s="139" t="s">
        <v>132</v>
      </c>
      <c r="D11" s="137">
        <v>1</v>
      </c>
      <c r="E11" s="137">
        <v>1</v>
      </c>
      <c r="F11" s="137"/>
      <c r="G11" s="138"/>
      <c r="H11" s="183"/>
      <c r="I11" s="201">
        <f>D11</f>
        <v>1</v>
      </c>
    </row>
    <row r="12" spans="1:9" ht="12.75" customHeight="1" x14ac:dyDescent="0.2">
      <c r="A12" s="467"/>
      <c r="B12" s="461"/>
      <c r="C12" s="139" t="s">
        <v>133</v>
      </c>
      <c r="D12" s="140">
        <f>PLANILHA!AH46</f>
        <v>103292.59</v>
      </c>
      <c r="E12" s="140">
        <f>D12*E11</f>
        <v>103292.59</v>
      </c>
      <c r="F12" s="140"/>
      <c r="G12" s="141"/>
      <c r="H12" s="184"/>
      <c r="I12" s="200">
        <f>E12+F12</f>
        <v>103292.59</v>
      </c>
    </row>
    <row r="13" spans="1:9" ht="12.75" customHeight="1" x14ac:dyDescent="0.2">
      <c r="A13" s="466">
        <v>3</v>
      </c>
      <c r="B13" s="461" t="s">
        <v>145</v>
      </c>
      <c r="C13" s="139" t="s">
        <v>132</v>
      </c>
      <c r="D13" s="137">
        <v>1</v>
      </c>
      <c r="E13" s="137">
        <v>1</v>
      </c>
      <c r="F13" s="137"/>
      <c r="G13" s="138"/>
      <c r="H13" s="183"/>
      <c r="I13" s="201">
        <f>D13</f>
        <v>1</v>
      </c>
    </row>
    <row r="14" spans="1:9" ht="12.75" customHeight="1" x14ac:dyDescent="0.2">
      <c r="A14" s="467"/>
      <c r="B14" s="461"/>
      <c r="C14" s="139" t="s">
        <v>133</v>
      </c>
      <c r="D14" s="140">
        <f>PLANILHA!AH54</f>
        <v>526385.88</v>
      </c>
      <c r="E14" s="140">
        <f>D14</f>
        <v>526385.88</v>
      </c>
      <c r="F14" s="140"/>
      <c r="G14" s="141"/>
      <c r="H14" s="184"/>
      <c r="I14" s="200">
        <f>D14</f>
        <v>526385.88</v>
      </c>
    </row>
    <row r="15" spans="1:9" x14ac:dyDescent="0.2">
      <c r="A15" s="465">
        <v>4</v>
      </c>
      <c r="B15" s="461" t="s">
        <v>59</v>
      </c>
      <c r="C15" s="139" t="s">
        <v>132</v>
      </c>
      <c r="D15" s="137">
        <v>1</v>
      </c>
      <c r="E15" s="137"/>
      <c r="F15" s="137">
        <v>1</v>
      </c>
      <c r="G15" s="138"/>
      <c r="H15" s="183"/>
      <c r="I15" s="201">
        <f>F15</f>
        <v>1</v>
      </c>
    </row>
    <row r="16" spans="1:9" x14ac:dyDescent="0.2">
      <c r="A16" s="465"/>
      <c r="B16" s="461"/>
      <c r="C16" s="139" t="s">
        <v>133</v>
      </c>
      <c r="D16" s="140">
        <f>PLANILHA!AH60</f>
        <v>189574.21</v>
      </c>
      <c r="E16" s="140"/>
      <c r="F16" s="140">
        <f>D16</f>
        <v>189574.21</v>
      </c>
      <c r="G16" s="141"/>
      <c r="H16" s="184"/>
      <c r="I16" s="200">
        <f>F16</f>
        <v>189574.21</v>
      </c>
    </row>
    <row r="17" spans="1:9" x14ac:dyDescent="0.2">
      <c r="A17" s="462">
        <v>5</v>
      </c>
      <c r="B17" s="463" t="s">
        <v>62</v>
      </c>
      <c r="C17" s="139" t="s">
        <v>132</v>
      </c>
      <c r="D17" s="137">
        <v>1</v>
      </c>
      <c r="E17" s="137"/>
      <c r="F17" s="137">
        <v>1</v>
      </c>
      <c r="G17" s="138"/>
      <c r="H17" s="183"/>
      <c r="I17" s="201">
        <f>G17+H17</f>
        <v>0</v>
      </c>
    </row>
    <row r="18" spans="1:9" x14ac:dyDescent="0.2">
      <c r="A18" s="462"/>
      <c r="B18" s="464"/>
      <c r="C18" s="139" t="s">
        <v>133</v>
      </c>
      <c r="D18" s="140">
        <f>PLANILHA!AH71</f>
        <v>150001.64000000001</v>
      </c>
      <c r="E18" s="140"/>
      <c r="F18" s="140">
        <f>D18</f>
        <v>150001.64000000001</v>
      </c>
      <c r="G18" s="141"/>
      <c r="H18" s="184"/>
      <c r="I18" s="200">
        <f>D18</f>
        <v>150001.64000000001</v>
      </c>
    </row>
    <row r="19" spans="1:9" x14ac:dyDescent="0.2">
      <c r="A19" s="459">
        <v>6</v>
      </c>
      <c r="B19" s="461" t="s">
        <v>162</v>
      </c>
      <c r="C19" s="139" t="s">
        <v>132</v>
      </c>
      <c r="D19" s="137">
        <v>1</v>
      </c>
      <c r="E19" s="137"/>
      <c r="F19" s="137">
        <v>1</v>
      </c>
      <c r="G19" s="138"/>
      <c r="H19" s="183"/>
      <c r="I19" s="201">
        <v>1</v>
      </c>
    </row>
    <row r="20" spans="1:9" x14ac:dyDescent="0.2">
      <c r="A20" s="460"/>
      <c r="B20" s="461"/>
      <c r="C20" s="139" t="s">
        <v>133</v>
      </c>
      <c r="D20" s="140">
        <f>PLANILHA!AH75</f>
        <v>50063.85</v>
      </c>
      <c r="E20" s="140"/>
      <c r="F20" s="140">
        <f>D20</f>
        <v>50063.85</v>
      </c>
      <c r="G20" s="141"/>
      <c r="H20" s="184"/>
      <c r="I20" s="200">
        <f>D20</f>
        <v>50063.85</v>
      </c>
    </row>
    <row r="21" spans="1:9" x14ac:dyDescent="0.2">
      <c r="A21" s="448"/>
      <c r="B21" s="450"/>
      <c r="C21" s="139" t="s">
        <v>132</v>
      </c>
      <c r="D21" s="137"/>
      <c r="E21" s="137"/>
      <c r="F21" s="137"/>
      <c r="G21" s="138"/>
      <c r="H21" s="183"/>
      <c r="I21" s="201"/>
    </row>
    <row r="22" spans="1:9" x14ac:dyDescent="0.2">
      <c r="A22" s="448"/>
      <c r="B22" s="450"/>
      <c r="C22" s="139" t="s">
        <v>133</v>
      </c>
      <c r="D22" s="140"/>
      <c r="E22" s="140"/>
      <c r="F22" s="140"/>
      <c r="G22" s="141"/>
      <c r="H22" s="184"/>
      <c r="I22" s="200"/>
    </row>
    <row r="23" spans="1:9" x14ac:dyDescent="0.2">
      <c r="A23" s="448"/>
      <c r="B23" s="450"/>
      <c r="C23" s="139" t="s">
        <v>132</v>
      </c>
      <c r="D23" s="137"/>
      <c r="E23" s="137"/>
      <c r="F23" s="137"/>
      <c r="G23" s="138"/>
      <c r="H23" s="183"/>
      <c r="I23" s="201"/>
    </row>
    <row r="24" spans="1:9" x14ac:dyDescent="0.2">
      <c r="A24" s="448"/>
      <c r="B24" s="450"/>
      <c r="C24" s="139" t="s">
        <v>133</v>
      </c>
      <c r="D24" s="140"/>
      <c r="E24" s="140"/>
      <c r="F24" s="140"/>
      <c r="G24" s="141"/>
      <c r="H24" s="184"/>
      <c r="I24" s="200"/>
    </row>
    <row r="25" spans="1:9" x14ac:dyDescent="0.2">
      <c r="A25" s="457"/>
      <c r="B25" s="458"/>
      <c r="C25" s="139" t="s">
        <v>132</v>
      </c>
      <c r="D25" s="137"/>
      <c r="E25" s="137"/>
      <c r="F25" s="137"/>
      <c r="G25" s="138"/>
      <c r="H25" s="183"/>
      <c r="I25" s="201"/>
    </row>
    <row r="26" spans="1:9" x14ac:dyDescent="0.2">
      <c r="A26" s="457"/>
      <c r="B26" s="458"/>
      <c r="C26" s="139" t="s">
        <v>133</v>
      </c>
      <c r="D26" s="140"/>
      <c r="E26" s="140"/>
      <c r="F26" s="140"/>
      <c r="G26" s="141"/>
      <c r="H26" s="184"/>
      <c r="I26" s="200"/>
    </row>
    <row r="27" spans="1:9" x14ac:dyDescent="0.2">
      <c r="A27" s="448"/>
      <c r="B27" s="450"/>
      <c r="C27" s="139" t="s">
        <v>132</v>
      </c>
      <c r="D27" s="137"/>
      <c r="E27" s="137"/>
      <c r="F27" s="137"/>
      <c r="G27" s="138"/>
      <c r="H27" s="183"/>
      <c r="I27" s="201"/>
    </row>
    <row r="28" spans="1:9" x14ac:dyDescent="0.2">
      <c r="A28" s="449"/>
      <c r="B28" s="451"/>
      <c r="C28" s="142" t="s">
        <v>133</v>
      </c>
      <c r="D28" s="140"/>
      <c r="E28" s="140"/>
      <c r="F28" s="140"/>
      <c r="G28" s="141"/>
      <c r="H28" s="184"/>
      <c r="I28" s="200"/>
    </row>
    <row r="29" spans="1:9" x14ac:dyDescent="0.2">
      <c r="A29" s="452" t="s">
        <v>134</v>
      </c>
      <c r="B29" s="453"/>
      <c r="C29" s="143" t="s">
        <v>132</v>
      </c>
      <c r="D29" s="144">
        <v>1</v>
      </c>
      <c r="E29" s="144">
        <f>E30/$D$30</f>
        <v>0.62126025194144363</v>
      </c>
      <c r="F29" s="144">
        <f>F30/$D$30</f>
        <v>0.37873974805855631</v>
      </c>
      <c r="G29" s="145"/>
      <c r="H29" s="185"/>
      <c r="I29" s="198">
        <f>H29+G29+F29+E29</f>
        <v>1</v>
      </c>
    </row>
    <row r="30" spans="1:9" ht="13.5" thickBot="1" x14ac:dyDescent="0.25">
      <c r="A30" s="454"/>
      <c r="B30" s="455"/>
      <c r="C30" s="146" t="s">
        <v>133</v>
      </c>
      <c r="D30" s="147">
        <f>D10+D12+D14+D16+D18+D20</f>
        <v>1028779.5299999999</v>
      </c>
      <c r="E30" s="147">
        <f>E10+E12+E14</f>
        <v>639139.82999999996</v>
      </c>
      <c r="F30" s="147">
        <f>F16+F18+F20</f>
        <v>389639.69999999995</v>
      </c>
      <c r="G30" s="148"/>
      <c r="H30" s="186"/>
      <c r="I30" s="199">
        <f>I10+I12+I14+I16+I18+I20</f>
        <v>1028779.5299999999</v>
      </c>
    </row>
    <row r="31" spans="1:9" ht="13.5" thickBot="1" x14ac:dyDescent="0.25">
      <c r="A31" s="149"/>
      <c r="B31" s="150"/>
      <c r="C31" s="151"/>
      <c r="D31" s="151"/>
      <c r="E31" s="150"/>
      <c r="F31" s="150"/>
      <c r="G31" s="150"/>
      <c r="H31" s="150"/>
      <c r="I31" s="202"/>
    </row>
    <row r="32" spans="1:9" x14ac:dyDescent="0.2">
      <c r="A32" s="152"/>
      <c r="B32" s="153"/>
      <c r="C32" s="153"/>
      <c r="D32" s="153"/>
      <c r="E32" s="153"/>
      <c r="F32" s="154"/>
      <c r="G32" s="153"/>
      <c r="H32" s="187"/>
      <c r="I32" s="191"/>
    </row>
    <row r="33" spans="1:9" x14ac:dyDescent="0.2">
      <c r="A33" s="155"/>
      <c r="B33" s="156"/>
      <c r="C33" s="157"/>
      <c r="D33" s="157"/>
      <c r="E33" s="124"/>
      <c r="F33" s="112"/>
      <c r="G33" s="124"/>
      <c r="H33" s="188" t="s">
        <v>108</v>
      </c>
      <c r="I33" s="192"/>
    </row>
    <row r="34" spans="1:9" x14ac:dyDescent="0.2">
      <c r="A34" s="158"/>
      <c r="B34" s="120" t="s">
        <v>158</v>
      </c>
      <c r="C34" s="131"/>
      <c r="D34" s="456"/>
      <c r="E34" s="456"/>
      <c r="F34" s="112"/>
      <c r="G34" s="124"/>
      <c r="H34" s="189"/>
      <c r="I34" s="192"/>
    </row>
    <row r="35" spans="1:9" ht="13.5" thickBot="1" x14ac:dyDescent="0.25">
      <c r="A35" s="159"/>
      <c r="B35" s="160"/>
      <c r="C35" s="161"/>
      <c r="D35" s="161"/>
      <c r="E35" s="160"/>
      <c r="F35" s="162"/>
      <c r="G35" s="160"/>
      <c r="H35" s="190"/>
      <c r="I35" s="193"/>
    </row>
    <row r="36" spans="1:9" x14ac:dyDescent="0.2">
      <c r="A36" s="115"/>
      <c r="B36" s="123"/>
      <c r="C36" s="116"/>
      <c r="D36" s="116"/>
      <c r="E36" s="117"/>
      <c r="F36" s="114"/>
      <c r="G36" s="111"/>
      <c r="H36" s="113"/>
    </row>
    <row r="37" spans="1:9" x14ac:dyDescent="0.2">
      <c r="A37" s="118"/>
      <c r="B37" s="122"/>
      <c r="C37" s="119"/>
      <c r="D37" s="119"/>
      <c r="E37" s="111"/>
      <c r="F37" s="114"/>
      <c r="G37" s="111"/>
      <c r="H37" s="113"/>
    </row>
  </sheetData>
  <mergeCells count="29">
    <mergeCell ref="A7:B7"/>
    <mergeCell ref="C7:H7"/>
    <mergeCell ref="A9:A10"/>
    <mergeCell ref="B9:B10"/>
    <mergeCell ref="A2:H2"/>
    <mergeCell ref="A3:H3"/>
    <mergeCell ref="A5:H5"/>
    <mergeCell ref="A6:B6"/>
    <mergeCell ref="C6:H6"/>
    <mergeCell ref="A15:A16"/>
    <mergeCell ref="B15:B16"/>
    <mergeCell ref="A11:A12"/>
    <mergeCell ref="B11:B12"/>
    <mergeCell ref="A13:A14"/>
    <mergeCell ref="B13:B14"/>
    <mergeCell ref="A19:A20"/>
    <mergeCell ref="B19:B20"/>
    <mergeCell ref="A21:A22"/>
    <mergeCell ref="B21:B22"/>
    <mergeCell ref="A17:A18"/>
    <mergeCell ref="B17:B18"/>
    <mergeCell ref="A27:A28"/>
    <mergeCell ref="B27:B28"/>
    <mergeCell ref="A29:B30"/>
    <mergeCell ref="D34:E34"/>
    <mergeCell ref="A23:A24"/>
    <mergeCell ref="B23:B24"/>
    <mergeCell ref="A25:A26"/>
    <mergeCell ref="B25:B26"/>
  </mergeCells>
  <pageMargins left="0.25" right="0.25" top="0.75" bottom="0.75" header="0.3" footer="0.3"/>
  <pageSetup paperSize="9" scale="73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51"/>
  <sheetViews>
    <sheetView topLeftCell="I1" workbookViewId="0">
      <selection activeCell="I9" sqref="I9"/>
    </sheetView>
  </sheetViews>
  <sheetFormatPr defaultRowHeight="12.75" x14ac:dyDescent="0.2"/>
  <cols>
    <col min="1" max="8" width="0" hidden="1" customWidth="1"/>
    <col min="12" max="12" width="13" customWidth="1"/>
    <col min="14" max="14" width="11.140625" bestFit="1" customWidth="1"/>
    <col min="15" max="15" width="9.85546875" customWidth="1"/>
    <col min="16" max="16" width="10.42578125" customWidth="1"/>
  </cols>
  <sheetData>
    <row r="1" spans="1:19" ht="15.75" x14ac:dyDescent="0.25">
      <c r="A1" s="48"/>
      <c r="B1" s="48"/>
      <c r="C1" s="48"/>
      <c r="D1" s="48"/>
      <c r="E1" s="49" t="s">
        <v>66</v>
      </c>
      <c r="F1" s="49" t="s">
        <v>67</v>
      </c>
      <c r="G1" s="49" t="s">
        <v>68</v>
      </c>
      <c r="H1" s="48"/>
      <c r="I1" s="48"/>
      <c r="J1" s="48"/>
      <c r="K1" s="48"/>
      <c r="L1" s="48"/>
      <c r="M1" s="48"/>
      <c r="N1" s="50" t="s">
        <v>121</v>
      </c>
      <c r="O1" s="48"/>
      <c r="P1" s="48"/>
      <c r="S1" s="48"/>
    </row>
    <row r="2" spans="1:19" x14ac:dyDescent="0.2">
      <c r="A2" s="48" t="s">
        <v>69</v>
      </c>
      <c r="B2" s="51" t="s">
        <v>70</v>
      </c>
      <c r="C2" s="48" t="str">
        <f t="shared" ref="C2:C49" si="0">CONCATENATE(A2,"-",B2)</f>
        <v>Construção e Reforma de Edifícios-AC</v>
      </c>
      <c r="D2" s="48"/>
      <c r="E2" s="52">
        <v>0.03</v>
      </c>
      <c r="F2" s="52">
        <v>0.04</v>
      </c>
      <c r="G2" s="52">
        <v>5.5E-2</v>
      </c>
      <c r="H2" s="48"/>
      <c r="I2" s="48"/>
      <c r="J2" s="48"/>
      <c r="K2" s="48"/>
      <c r="L2" s="48"/>
      <c r="M2" s="48"/>
      <c r="N2" s="48"/>
      <c r="O2" s="48"/>
      <c r="P2" s="48"/>
      <c r="S2" s="48"/>
    </row>
    <row r="3" spans="1:19" x14ac:dyDescent="0.2">
      <c r="A3" s="48" t="str">
        <f>A2</f>
        <v>Construção e Reforma de Edifícios</v>
      </c>
      <c r="B3" s="51" t="s">
        <v>71</v>
      </c>
      <c r="C3" s="48" t="str">
        <f t="shared" si="0"/>
        <v>Construção e Reforma de Edifícios-SG</v>
      </c>
      <c r="D3" s="48"/>
      <c r="E3" s="52">
        <v>8.0000000000000002E-3</v>
      </c>
      <c r="F3" s="52">
        <v>8.0000000000000002E-3</v>
      </c>
      <c r="G3" s="52">
        <v>0.01</v>
      </c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</row>
    <row r="4" spans="1:19" x14ac:dyDescent="0.2">
      <c r="A4" s="48" t="str">
        <f>A3</f>
        <v>Construção e Reforma de Edifícios</v>
      </c>
      <c r="B4" s="51" t="s">
        <v>72</v>
      </c>
      <c r="C4" s="48" t="str">
        <f t="shared" si="0"/>
        <v>Construção e Reforma de Edifícios-R</v>
      </c>
      <c r="D4" s="48"/>
      <c r="E4" s="52">
        <v>9.7000000000000003E-3</v>
      </c>
      <c r="F4" s="52">
        <v>1.2699999999999999E-2</v>
      </c>
      <c r="G4" s="52">
        <v>1.2699999999999999E-2</v>
      </c>
      <c r="H4" s="48"/>
      <c r="I4" s="508" t="s">
        <v>73</v>
      </c>
      <c r="J4" s="510"/>
      <c r="K4" s="508" t="s">
        <v>74</v>
      </c>
      <c r="L4" s="509"/>
      <c r="M4" s="509"/>
      <c r="N4" s="509"/>
      <c r="O4" s="509"/>
      <c r="P4" s="509"/>
      <c r="Q4" s="509"/>
      <c r="R4" s="510"/>
      <c r="S4" s="48"/>
    </row>
    <row r="5" spans="1:19" ht="19.5" x14ac:dyDescent="0.3">
      <c r="A5" s="48" t="str">
        <f>A4</f>
        <v>Construção e Reforma de Edifícios</v>
      </c>
      <c r="B5" s="51" t="s">
        <v>75</v>
      </c>
      <c r="C5" s="48" t="str">
        <f t="shared" si="0"/>
        <v>Construção e Reforma de Edifícios-DF</v>
      </c>
      <c r="D5" s="48"/>
      <c r="E5" s="52">
        <v>5.8999999999999999E-3</v>
      </c>
      <c r="F5" s="52">
        <v>1.23E-2</v>
      </c>
      <c r="G5" s="52">
        <v>1.3899999999999999E-2</v>
      </c>
      <c r="H5" s="48"/>
      <c r="I5" s="518" t="s">
        <v>214</v>
      </c>
      <c r="J5" s="519"/>
      <c r="K5" s="520" t="str">
        <f>[1]DADOS!A32</f>
        <v>PREFEITURA MUNICPAL DE PAPAGAIOS</v>
      </c>
      <c r="L5" s="521"/>
      <c r="M5" s="521"/>
      <c r="N5" s="521"/>
      <c r="O5" s="521"/>
      <c r="P5" s="521"/>
      <c r="Q5" s="521"/>
      <c r="R5" s="519"/>
      <c r="S5" s="53"/>
    </row>
    <row r="6" spans="1:19" x14ac:dyDescent="0.2">
      <c r="A6" s="48" t="str">
        <f>A5</f>
        <v>Construção e Reforma de Edifícios</v>
      </c>
      <c r="B6" s="51" t="s">
        <v>76</v>
      </c>
      <c r="C6" s="48" t="str">
        <f t="shared" si="0"/>
        <v>Construção e Reforma de Edifícios-L</v>
      </c>
      <c r="D6" s="48"/>
      <c r="E6" s="52">
        <v>6.1600000000000002E-2</v>
      </c>
      <c r="F6" s="52">
        <v>7.400000000000001E-2</v>
      </c>
      <c r="G6" s="52">
        <v>8.9600000000000013E-2</v>
      </c>
      <c r="H6" s="48"/>
      <c r="I6" s="54"/>
      <c r="J6" s="54"/>
      <c r="K6" s="54"/>
      <c r="L6" s="54"/>
      <c r="M6" s="54"/>
      <c r="N6" s="54"/>
      <c r="O6" s="54"/>
      <c r="P6" s="54"/>
      <c r="Q6" s="54"/>
      <c r="R6" s="54"/>
      <c r="S6" s="48"/>
    </row>
    <row r="7" spans="1:19" x14ac:dyDescent="0.2">
      <c r="A7" s="48" t="str">
        <f>A6</f>
        <v>Construção e Reforma de Edifícios</v>
      </c>
      <c r="B7" s="55" t="s">
        <v>77</v>
      </c>
      <c r="C7" s="48" t="str">
        <f t="shared" si="0"/>
        <v>Construção e Reforma de Edifícios-BDI PAD</v>
      </c>
      <c r="D7" s="48"/>
      <c r="E7" s="52">
        <v>0.2034</v>
      </c>
      <c r="F7" s="52">
        <v>0.22120000000000001</v>
      </c>
      <c r="G7" s="52">
        <v>0.25</v>
      </c>
      <c r="H7" s="48"/>
      <c r="I7" s="508" t="s">
        <v>78</v>
      </c>
      <c r="J7" s="509"/>
      <c r="K7" s="509"/>
      <c r="L7" s="509"/>
      <c r="M7" s="509"/>
      <c r="N7" s="509"/>
      <c r="O7" s="509"/>
      <c r="P7" s="509"/>
      <c r="Q7" s="509"/>
      <c r="R7" s="510"/>
      <c r="S7" s="48"/>
    </row>
    <row r="8" spans="1:19" x14ac:dyDescent="0.2">
      <c r="A8" s="48" t="s">
        <v>79</v>
      </c>
      <c r="B8" s="51" t="s">
        <v>70</v>
      </c>
      <c r="C8" s="48" t="str">
        <f t="shared" si="0"/>
        <v>Construção de Praças Urbanas, Rodovias, Ferrovias e recapeamento e pavimentação de vias urbanas-AC</v>
      </c>
      <c r="D8" s="48"/>
      <c r="E8" s="52">
        <v>3.7999999999999999E-2</v>
      </c>
      <c r="F8" s="52">
        <v>4.0099999999999997E-2</v>
      </c>
      <c r="G8" s="52">
        <v>4.6699999999999998E-2</v>
      </c>
      <c r="H8" s="48"/>
      <c r="I8" s="517" t="str">
        <f>[1]DADOS!P29</f>
        <v xml:space="preserve">PAVIMENTAÇÃO </v>
      </c>
      <c r="J8" s="517"/>
      <c r="K8" s="517"/>
      <c r="L8" s="517"/>
      <c r="M8" s="517"/>
      <c r="N8" s="517"/>
      <c r="O8" s="517"/>
      <c r="P8" s="517"/>
      <c r="Q8" s="517"/>
      <c r="R8" s="517"/>
      <c r="S8" s="48"/>
    </row>
    <row r="9" spans="1:19" x14ac:dyDescent="0.2">
      <c r="A9" s="48" t="s">
        <v>79</v>
      </c>
      <c r="B9" s="51" t="s">
        <v>71</v>
      </c>
      <c r="C9" s="48" t="str">
        <f t="shared" si="0"/>
        <v>Construção de Praças Urbanas, Rodovias, Ferrovias e recapeamento e pavimentação de vias urbanas-SG</v>
      </c>
      <c r="D9" s="48"/>
      <c r="E9" s="52">
        <v>3.2000000000000002E-3</v>
      </c>
      <c r="F9" s="52">
        <v>4.0000000000000001E-3</v>
      </c>
      <c r="G9" s="52">
        <v>7.4000000000000003E-3</v>
      </c>
      <c r="H9" s="48"/>
      <c r="I9" s="54"/>
      <c r="J9" s="54"/>
      <c r="K9" s="54"/>
      <c r="L9" s="54"/>
      <c r="M9" s="54"/>
      <c r="N9" s="54"/>
      <c r="O9" s="54"/>
      <c r="P9" s="54"/>
      <c r="Q9" s="54"/>
      <c r="R9" s="54"/>
      <c r="S9" s="48"/>
    </row>
    <row r="10" spans="1:19" x14ac:dyDescent="0.2">
      <c r="A10" s="48" t="s">
        <v>79</v>
      </c>
      <c r="B10" s="51" t="s">
        <v>72</v>
      </c>
      <c r="C10" s="48" t="str">
        <f t="shared" si="0"/>
        <v>Construção de Praças Urbanas, Rodovias, Ferrovias e recapeamento e pavimentação de vias urbanas-R</v>
      </c>
      <c r="D10" s="48"/>
      <c r="E10" s="52">
        <v>5.0000000000000001E-3</v>
      </c>
      <c r="F10" s="52">
        <v>5.6000000000000008E-3</v>
      </c>
      <c r="G10" s="52">
        <v>9.7000000000000003E-3</v>
      </c>
      <c r="H10" s="48"/>
      <c r="I10" s="508" t="s">
        <v>80</v>
      </c>
      <c r="J10" s="509"/>
      <c r="K10" s="509"/>
      <c r="L10" s="509"/>
      <c r="M10" s="509"/>
      <c r="N10" s="509"/>
      <c r="O10" s="509"/>
      <c r="P10" s="509"/>
      <c r="Q10" s="508" t="s">
        <v>81</v>
      </c>
      <c r="R10" s="510"/>
      <c r="S10" s="48"/>
    </row>
    <row r="11" spans="1:19" x14ac:dyDescent="0.2">
      <c r="A11" s="48" t="s">
        <v>79</v>
      </c>
      <c r="B11" s="51" t="s">
        <v>75</v>
      </c>
      <c r="C11" s="48" t="str">
        <f t="shared" si="0"/>
        <v>Construção de Praças Urbanas, Rodovias, Ferrovias e recapeamento e pavimentação de vias urbanas-DF</v>
      </c>
      <c r="D11" s="48"/>
      <c r="E11" s="52">
        <v>1.0200000000000001E-2</v>
      </c>
      <c r="F11" s="52">
        <v>1.11E-2</v>
      </c>
      <c r="G11" s="52">
        <v>1.21E-2</v>
      </c>
      <c r="H11" s="48"/>
      <c r="I11" s="511" t="s">
        <v>79</v>
      </c>
      <c r="J11" s="512"/>
      <c r="K11" s="512"/>
      <c r="L11" s="512"/>
      <c r="M11" s="512"/>
      <c r="N11" s="512"/>
      <c r="O11" s="512"/>
      <c r="P11" s="513"/>
      <c r="Q11" s="514" t="s">
        <v>147</v>
      </c>
      <c r="R11" s="515"/>
      <c r="S11" s="48"/>
    </row>
    <row r="12" spans="1:19" x14ac:dyDescent="0.2">
      <c r="A12" s="48" t="s">
        <v>79</v>
      </c>
      <c r="B12" s="51" t="s">
        <v>76</v>
      </c>
      <c r="C12" s="48" t="str">
        <f t="shared" si="0"/>
        <v>Construção de Praças Urbanas, Rodovias, Ferrovias e recapeamento e pavimentação de vias urbanas-L</v>
      </c>
      <c r="D12" s="48"/>
      <c r="E12" s="52">
        <v>6.6400000000000001E-2</v>
      </c>
      <c r="F12" s="52">
        <v>7.2999999999999995E-2</v>
      </c>
      <c r="G12" s="52">
        <v>8.6899999999999991E-2</v>
      </c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</row>
    <row r="13" spans="1:19" ht="24" customHeight="1" x14ac:dyDescent="0.2">
      <c r="A13" s="48" t="s">
        <v>79</v>
      </c>
      <c r="B13" s="55" t="s">
        <v>77</v>
      </c>
      <c r="C13" s="48" t="str">
        <f t="shared" si="0"/>
        <v>Construção de Praças Urbanas, Rodovias, Ferrovias e recapeamento e pavimentação de vias urbanas-BDI PAD</v>
      </c>
      <c r="D13" s="48"/>
      <c r="E13" s="52">
        <v>0.19600000000000001</v>
      </c>
      <c r="F13" s="52">
        <v>0.2097</v>
      </c>
      <c r="G13" s="52">
        <v>0.24230000000000002</v>
      </c>
      <c r="H13" s="48"/>
      <c r="I13" s="516" t="s">
        <v>82</v>
      </c>
      <c r="J13" s="516"/>
      <c r="K13" s="516"/>
      <c r="L13" s="516"/>
      <c r="M13" s="516"/>
      <c r="N13" s="516"/>
      <c r="O13" s="516"/>
      <c r="P13" s="516"/>
      <c r="Q13" s="504">
        <v>1</v>
      </c>
      <c r="R13" s="504"/>
      <c r="S13" s="48"/>
    </row>
    <row r="14" spans="1:19" x14ac:dyDescent="0.2">
      <c r="A14" s="48" t="s">
        <v>83</v>
      </c>
      <c r="B14" s="51" t="s">
        <v>70</v>
      </c>
      <c r="C14" s="48" t="str">
        <f t="shared" si="0"/>
        <v>Construção de Redes de Abastecimento de Água, Coleta de Esgoto-AC</v>
      </c>
      <c r="D14" s="48"/>
      <c r="E14" s="52">
        <v>3.4300000000000004E-2</v>
      </c>
      <c r="F14" s="52">
        <v>4.9299999999999997E-2</v>
      </c>
      <c r="G14" s="52">
        <v>6.7099999999999993E-2</v>
      </c>
      <c r="H14" s="48"/>
      <c r="I14" s="503" t="s">
        <v>84</v>
      </c>
      <c r="J14" s="503"/>
      <c r="K14" s="503"/>
      <c r="L14" s="503"/>
      <c r="M14" s="503"/>
      <c r="N14" s="503"/>
      <c r="O14" s="503"/>
      <c r="P14" s="503"/>
      <c r="Q14" s="504">
        <v>0.02</v>
      </c>
      <c r="R14" s="504"/>
      <c r="S14" s="48"/>
    </row>
    <row r="15" spans="1:19" x14ac:dyDescent="0.2">
      <c r="A15" s="48" t="str">
        <f>A14</f>
        <v>Construção de Redes de Abastecimento de Água, Coleta de Esgoto</v>
      </c>
      <c r="B15" s="51" t="s">
        <v>71</v>
      </c>
      <c r="C15" s="48" t="str">
        <f t="shared" si="0"/>
        <v>Construção de Redes de Abastecimento de Água, Coleta de Esgoto-SG</v>
      </c>
      <c r="D15" s="48"/>
      <c r="E15" s="52">
        <v>2.8000000000000004E-3</v>
      </c>
      <c r="F15" s="52">
        <v>4.8999999999999998E-3</v>
      </c>
      <c r="G15" s="52">
        <v>7.4999999999999997E-3</v>
      </c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</row>
    <row r="16" spans="1:19" x14ac:dyDescent="0.2">
      <c r="A16" s="48"/>
      <c r="B16" s="51"/>
      <c r="C16" s="48"/>
      <c r="D16" s="48"/>
      <c r="E16" s="52"/>
      <c r="F16" s="52"/>
      <c r="G16" s="52"/>
      <c r="H16" s="48"/>
      <c r="I16" s="505" t="s">
        <v>85</v>
      </c>
      <c r="J16" s="505"/>
      <c r="K16" s="505"/>
      <c r="L16" s="505"/>
      <c r="M16" s="505" t="s">
        <v>86</v>
      </c>
      <c r="N16" s="506" t="s">
        <v>87</v>
      </c>
      <c r="O16" s="506" t="s">
        <v>88</v>
      </c>
      <c r="P16" s="505" t="s">
        <v>89</v>
      </c>
      <c r="Q16" s="505" t="s">
        <v>90</v>
      </c>
      <c r="R16" s="507" t="s">
        <v>91</v>
      </c>
      <c r="S16" s="48"/>
    </row>
    <row r="17" spans="1:19" x14ac:dyDescent="0.2">
      <c r="A17" s="48" t="str">
        <f>A15</f>
        <v>Construção de Redes de Abastecimento de Água, Coleta de Esgoto</v>
      </c>
      <c r="B17" s="51" t="s">
        <v>72</v>
      </c>
      <c r="C17" s="48" t="str">
        <f t="shared" si="0"/>
        <v>Construção de Redes de Abastecimento de Água, Coleta de Esgoto-R</v>
      </c>
      <c r="D17" s="48"/>
      <c r="E17" s="52">
        <v>0.01</v>
      </c>
      <c r="F17" s="52">
        <v>1.3899999999999999E-2</v>
      </c>
      <c r="G17" s="52">
        <v>1.7399999999999999E-2</v>
      </c>
      <c r="H17" s="48"/>
      <c r="I17" s="505"/>
      <c r="J17" s="505"/>
      <c r="K17" s="505"/>
      <c r="L17" s="505"/>
      <c r="M17" s="505"/>
      <c r="N17" s="506"/>
      <c r="O17" s="506"/>
      <c r="P17" s="505"/>
      <c r="Q17" s="505"/>
      <c r="R17" s="507"/>
      <c r="S17" s="48"/>
    </row>
    <row r="18" spans="1:19" ht="15" x14ac:dyDescent="0.2">
      <c r="A18" s="48" t="str">
        <f>A17</f>
        <v>Construção de Redes de Abastecimento de Água, Coleta de Esgoto</v>
      </c>
      <c r="B18" s="51" t="s">
        <v>75</v>
      </c>
      <c r="C18" s="48" t="str">
        <f t="shared" si="0"/>
        <v>Construção de Redes de Abastecimento de Água, Coleta de Esgoto-DF</v>
      </c>
      <c r="D18" s="48"/>
      <c r="E18" s="52">
        <v>9.3999999999999986E-3</v>
      </c>
      <c r="F18" s="52">
        <v>9.8999999999999991E-3</v>
      </c>
      <c r="G18" s="52">
        <v>1.1699999999999999E-2</v>
      </c>
      <c r="H18" s="48"/>
      <c r="I18" s="499" t="str">
        <f>IF($I$11=$A$59,"Encargos Sociais incidentes sobre a mão de obra","Administração Central")</f>
        <v>Administração Central</v>
      </c>
      <c r="J18" s="499"/>
      <c r="K18" s="499"/>
      <c r="L18" s="499"/>
      <c r="M18" s="56" t="str">
        <f>IF($I$11=$A$59,"K1","AC")</f>
        <v>AC</v>
      </c>
      <c r="N18" s="57">
        <v>4.6699999999999998E-2</v>
      </c>
      <c r="O18" s="58" t="s">
        <v>92</v>
      </c>
      <c r="P18" s="59">
        <f>VLOOKUP(CONCATENATE(I$11,"-",M18),$C$2:$G$49,3,FALSE)</f>
        <v>3.7999999999999999E-2</v>
      </c>
      <c r="Q18" s="59">
        <f>VLOOKUP(CONCATENATE(I$11,"-",M18),$C$2:$G$49,4,FALSE)</f>
        <v>4.0099999999999997E-2</v>
      </c>
      <c r="R18" s="59">
        <f>VLOOKUP(CONCATENATE(I$11,"-",M18),$C$2:$G$49,5,FALSE)</f>
        <v>4.6699999999999998E-2</v>
      </c>
      <c r="S18" s="48"/>
    </row>
    <row r="19" spans="1:19" ht="15" x14ac:dyDescent="0.2">
      <c r="A19" s="48" t="str">
        <f>A18</f>
        <v>Construção de Redes de Abastecimento de Água, Coleta de Esgoto</v>
      </c>
      <c r="B19" s="51" t="s">
        <v>76</v>
      </c>
      <c r="C19" s="48" t="str">
        <f t="shared" si="0"/>
        <v>Construção de Redes de Abastecimento de Água, Coleta de Esgoto-L</v>
      </c>
      <c r="D19" s="48"/>
      <c r="E19" s="52">
        <v>6.7400000000000002E-2</v>
      </c>
      <c r="F19" s="52">
        <v>8.0399999999999985E-2</v>
      </c>
      <c r="G19" s="52">
        <v>9.4E-2</v>
      </c>
      <c r="H19" s="48"/>
      <c r="I19" s="499" t="str">
        <f>IF($I$11=$A$59,"Administração Central da empresa ou consultoria - overhead","Seguro e Garantia")</f>
        <v>Seguro e Garantia</v>
      </c>
      <c r="J19" s="499"/>
      <c r="K19" s="499"/>
      <c r="L19" s="499"/>
      <c r="M19" s="56" t="str">
        <f>IF($I$11=$A$59,"K2","SG")</f>
        <v>SG</v>
      </c>
      <c r="N19" s="57">
        <v>4.0000000000000001E-3</v>
      </c>
      <c r="O19" s="58" t="s">
        <v>92</v>
      </c>
      <c r="P19" s="59">
        <f>VLOOKUP(CONCATENATE(I$11,"-",M19),$C$2:$G$49,3,FALSE)</f>
        <v>3.2000000000000002E-3</v>
      </c>
      <c r="Q19" s="59">
        <f>VLOOKUP(CONCATENATE(I$11,"-",M19),$C$2:$G$49,4,FALSE)</f>
        <v>4.0000000000000001E-3</v>
      </c>
      <c r="R19" s="59">
        <f>VLOOKUP(CONCATENATE(I$11,"-",M19),$C$2:$G$49,5,FALSE)</f>
        <v>7.4000000000000003E-3</v>
      </c>
      <c r="S19" s="48"/>
    </row>
    <row r="20" spans="1:19" ht="15" x14ac:dyDescent="0.2">
      <c r="A20" s="48" t="str">
        <f>A19</f>
        <v>Construção de Redes de Abastecimento de Água, Coleta de Esgoto</v>
      </c>
      <c r="B20" s="55" t="s">
        <v>77</v>
      </c>
      <c r="C20" s="48" t="str">
        <f t="shared" si="0"/>
        <v>Construção de Redes de Abastecimento de Água, Coleta de Esgoto-BDI PAD</v>
      </c>
      <c r="D20" s="48"/>
      <c r="E20" s="52">
        <v>0.20760000000000001</v>
      </c>
      <c r="F20" s="52">
        <v>0.24179999999999999</v>
      </c>
      <c r="G20" s="52">
        <v>0.26440000000000002</v>
      </c>
      <c r="H20" s="48"/>
      <c r="I20" s="499" t="str">
        <f>IF($I$11=$A$59,"","Risco")</f>
        <v>Risco</v>
      </c>
      <c r="J20" s="499"/>
      <c r="K20" s="499"/>
      <c r="L20" s="499"/>
      <c r="M20" s="56" t="str">
        <f>IF($I$11=$A$59,"","R")</f>
        <v>R</v>
      </c>
      <c r="N20" s="57">
        <v>9.7000000000000003E-3</v>
      </c>
      <c r="O20" s="58" t="s">
        <v>92</v>
      </c>
      <c r="P20" s="59">
        <f>VLOOKUP(CONCATENATE(I$11,"-",M20),$C$2:$G$49,3,FALSE)</f>
        <v>5.0000000000000001E-3</v>
      </c>
      <c r="Q20" s="59">
        <f>VLOOKUP(CONCATENATE(I$11,"-",M20),$C$2:$G$49,4,FALSE)</f>
        <v>5.6000000000000008E-3</v>
      </c>
      <c r="R20" s="59">
        <f>VLOOKUP(CONCATENATE(I$11,"-",M20),$C$2:$G$49,5,FALSE)</f>
        <v>9.7000000000000003E-3</v>
      </c>
      <c r="S20" s="48"/>
    </row>
    <row r="21" spans="1:19" ht="15" x14ac:dyDescent="0.2">
      <c r="A21" s="48" t="s">
        <v>93</v>
      </c>
      <c r="B21" s="51" t="s">
        <v>70</v>
      </c>
      <c r="C21" s="48" t="str">
        <f t="shared" si="0"/>
        <v>Construção e Manutenção de Estações e Redes de Distribuição de Energia Elétrica-AC</v>
      </c>
      <c r="D21" s="48"/>
      <c r="E21" s="52">
        <v>5.2900000000000003E-2</v>
      </c>
      <c r="F21" s="52">
        <v>5.9200000000000003E-2</v>
      </c>
      <c r="G21" s="52">
        <v>7.9299999999999995E-2</v>
      </c>
      <c r="H21" s="48"/>
      <c r="I21" s="499" t="str">
        <f>IF($I$11=$A$59,"","Despesas Financeiras")</f>
        <v>Despesas Financeiras</v>
      </c>
      <c r="J21" s="499"/>
      <c r="K21" s="499"/>
      <c r="L21" s="499"/>
      <c r="M21" s="56" t="str">
        <f>IF($I$11=$A$59,"","DF")</f>
        <v>DF</v>
      </c>
      <c r="N21" s="57">
        <v>1.21E-2</v>
      </c>
      <c r="O21" s="58" t="s">
        <v>92</v>
      </c>
      <c r="P21" s="59">
        <f>VLOOKUP(CONCATENATE(I$11,"-",M21),$C$2:$G$49,3,FALSE)</f>
        <v>1.0200000000000001E-2</v>
      </c>
      <c r="Q21" s="59">
        <f>VLOOKUP(CONCATENATE(I$11,"-",M21),$C$2:$G$49,4,FALSE)</f>
        <v>1.11E-2</v>
      </c>
      <c r="R21" s="59">
        <f>VLOOKUP(CONCATENATE(I$11,"-",M21),$C$2:$G$49,5,FALSE)</f>
        <v>1.21E-2</v>
      </c>
      <c r="S21" s="48"/>
    </row>
    <row r="22" spans="1:19" ht="15" x14ac:dyDescent="0.2">
      <c r="A22" s="48" t="str">
        <f>A21</f>
        <v>Construção e Manutenção de Estações e Redes de Distribuição de Energia Elétrica</v>
      </c>
      <c r="B22" s="51" t="s">
        <v>71</v>
      </c>
      <c r="C22" s="48" t="str">
        <f t="shared" si="0"/>
        <v>Construção e Manutenção de Estações e Redes de Distribuição de Energia Elétrica-SG</v>
      </c>
      <c r="D22" s="48"/>
      <c r="E22" s="52">
        <v>2.5000000000000001E-3</v>
      </c>
      <c r="F22" s="52">
        <v>5.1000000000000004E-3</v>
      </c>
      <c r="G22" s="52">
        <v>5.6000000000000008E-3</v>
      </c>
      <c r="H22" s="48"/>
      <c r="I22" s="499" t="str">
        <f>IF($I$11=$A$59,"Margem bruta da empresa de consultoria","Lucro")</f>
        <v>Lucro</v>
      </c>
      <c r="J22" s="499"/>
      <c r="K22" s="499"/>
      <c r="L22" s="499"/>
      <c r="M22" s="56" t="str">
        <f>IF($I$11=$A$59,"K3","L")</f>
        <v>L</v>
      </c>
      <c r="N22" s="57">
        <v>8.6900000000000005E-2</v>
      </c>
      <c r="O22" s="58" t="s">
        <v>92</v>
      </c>
      <c r="P22" s="59">
        <f>VLOOKUP(CONCATENATE(I$11,"-",M22),$C$2:$G$49,3,FALSE)</f>
        <v>6.6400000000000001E-2</v>
      </c>
      <c r="Q22" s="59">
        <f>VLOOKUP(CONCATENATE(I$11,"-",M22),$C$2:$G$49,4,FALSE)</f>
        <v>7.2999999999999995E-2</v>
      </c>
      <c r="R22" s="59">
        <f>VLOOKUP(CONCATENATE(I$11,"-",M22),$C$2:$G$49,5,FALSE)</f>
        <v>8.6899999999999991E-2</v>
      </c>
      <c r="S22" s="48"/>
    </row>
    <row r="23" spans="1:19" ht="15" x14ac:dyDescent="0.2">
      <c r="A23" s="48" t="str">
        <f>A22</f>
        <v>Construção e Manutenção de Estações e Redes de Distribuição de Energia Elétrica</v>
      </c>
      <c r="B23" s="51" t="s">
        <v>72</v>
      </c>
      <c r="C23" s="48" t="str">
        <f t="shared" si="0"/>
        <v>Construção e Manutenção de Estações e Redes de Distribuição de Energia Elétrica-R</v>
      </c>
      <c r="D23" s="48"/>
      <c r="E23" s="52">
        <v>0.01</v>
      </c>
      <c r="F23" s="52">
        <v>1.4800000000000001E-2</v>
      </c>
      <c r="G23" s="52">
        <v>1.9699999999999999E-2</v>
      </c>
      <c r="H23" s="48"/>
      <c r="I23" s="500" t="s">
        <v>94</v>
      </c>
      <c r="J23" s="500"/>
      <c r="K23" s="500"/>
      <c r="L23" s="500"/>
      <c r="M23" s="56" t="s">
        <v>95</v>
      </c>
      <c r="N23" s="57">
        <v>3.6499999999999998E-2</v>
      </c>
      <c r="O23" s="58" t="s">
        <v>92</v>
      </c>
      <c r="P23" s="59">
        <v>3.6499999999999998E-2</v>
      </c>
      <c r="Q23" s="59">
        <v>3.6499999999999998E-2</v>
      </c>
      <c r="R23" s="59">
        <v>3.6499999999999998E-2</v>
      </c>
      <c r="S23" s="48"/>
    </row>
    <row r="24" spans="1:19" ht="31.5" customHeight="1" x14ac:dyDescent="0.2">
      <c r="A24" s="48" t="str">
        <f>A23</f>
        <v>Construção e Manutenção de Estações e Redes de Distribuição de Energia Elétrica</v>
      </c>
      <c r="B24" s="51" t="s">
        <v>75</v>
      </c>
      <c r="C24" s="48" t="str">
        <f t="shared" si="0"/>
        <v>Construção e Manutenção de Estações e Redes de Distribuição de Energia Elétrica-DF</v>
      </c>
      <c r="D24" s="48"/>
      <c r="E24" s="52">
        <v>1.01E-2</v>
      </c>
      <c r="F24" s="52">
        <v>1.0700000000000001E-2</v>
      </c>
      <c r="G24" s="52">
        <v>1.11E-2</v>
      </c>
      <c r="H24" s="48"/>
      <c r="I24" s="499" t="s">
        <v>96</v>
      </c>
      <c r="J24" s="499"/>
      <c r="K24" s="499"/>
      <c r="L24" s="499"/>
      <c r="M24" s="56" t="s">
        <v>97</v>
      </c>
      <c r="N24" s="59">
        <f>IF($I$11&lt;&gt;$A$58,Q14*Q13,0)</f>
        <v>0.02</v>
      </c>
      <c r="O24" s="58" t="s">
        <v>92</v>
      </c>
      <c r="P24" s="59">
        <v>0</v>
      </c>
      <c r="Q24" s="59">
        <v>2.5000000000000001E-2</v>
      </c>
      <c r="R24" s="59">
        <v>0.05</v>
      </c>
      <c r="S24" s="48"/>
    </row>
    <row r="25" spans="1:19" ht="26.25" customHeight="1" x14ac:dyDescent="0.2">
      <c r="A25" s="48" t="str">
        <f>A24</f>
        <v>Construção e Manutenção de Estações e Redes de Distribuição de Energia Elétrica</v>
      </c>
      <c r="B25" s="51" t="s">
        <v>76</v>
      </c>
      <c r="C25" s="48" t="str">
        <f t="shared" si="0"/>
        <v>Construção e Manutenção de Estações e Redes de Distribuição de Energia Elétrica-L</v>
      </c>
      <c r="D25" s="48"/>
      <c r="E25" s="52">
        <v>0.08</v>
      </c>
      <c r="F25" s="52">
        <v>8.3100000000000007E-2</v>
      </c>
      <c r="G25" s="52">
        <v>9.5100000000000004E-2</v>
      </c>
      <c r="H25" s="48"/>
      <c r="I25" s="499" t="s">
        <v>98</v>
      </c>
      <c r="J25" s="499"/>
      <c r="K25" s="499"/>
      <c r="L25" s="499"/>
      <c r="M25" s="56" t="s">
        <v>99</v>
      </c>
      <c r="N25" s="59">
        <v>0</v>
      </c>
      <c r="O25" s="58" t="str">
        <f>IF(AND(N25&gt;=P25, N25&lt;=R25), "OK", "Não OK")</f>
        <v>OK</v>
      </c>
      <c r="P25" s="60">
        <v>0</v>
      </c>
      <c r="Q25" s="60">
        <v>4.4999999999999998E-2</v>
      </c>
      <c r="R25" s="60">
        <v>4.4999999999999998E-2</v>
      </c>
      <c r="S25" s="48"/>
    </row>
    <row r="26" spans="1:19" ht="30" x14ac:dyDescent="0.2">
      <c r="A26" s="48" t="str">
        <f>A25</f>
        <v>Construção e Manutenção de Estações e Redes de Distribuição de Energia Elétrica</v>
      </c>
      <c r="B26" s="55" t="s">
        <v>77</v>
      </c>
      <c r="C26" s="48" t="str">
        <f t="shared" si="0"/>
        <v>Construção e Manutenção de Estações e Redes de Distribuição de Energia Elétrica-BDI PAD</v>
      </c>
      <c r="D26" s="48"/>
      <c r="E26" s="52">
        <v>0.24</v>
      </c>
      <c r="F26" s="52">
        <v>0.25840000000000002</v>
      </c>
      <c r="G26" s="52">
        <v>0.27860000000000001</v>
      </c>
      <c r="H26" s="48"/>
      <c r="I26" s="499" t="s">
        <v>100</v>
      </c>
      <c r="J26" s="499"/>
      <c r="K26" s="499"/>
      <c r="L26" s="499"/>
      <c r="M26" s="61" t="s">
        <v>77</v>
      </c>
      <c r="N26" s="59">
        <f>IF($I$11=$A$58,0,ROUND((((1+N18+N19+N20)*(1+N21)*(1+N22)/(1-(N23+N24)))-1),4))</f>
        <v>0.23630000000000001</v>
      </c>
      <c r="O26" s="62" t="str">
        <f>IF(OR($I$11=$A$59,$I$11=$A$58,AND(N26&gt;=P26, N26&lt;=R26)), "OK", "FORA DO INTERVALO")</f>
        <v>OK</v>
      </c>
      <c r="P26" s="59">
        <f>IF($I$11=$A$58,0,VLOOKUP(CONCATENATE($I$11,"-",$M26),$C$2:$G$49,3,FALSE))</f>
        <v>0.19600000000000001</v>
      </c>
      <c r="Q26" s="59">
        <f>IF($I$11=$A$58,0,VLOOKUP(CONCATENATE($I$11,"-",$M26),$C$2:$G$49,4,FALSE))</f>
        <v>0.2097</v>
      </c>
      <c r="R26" s="59">
        <f>IF($I$11=$A$58,0,VLOOKUP(CONCATENATE($I$11,"-",$M26),$C$2:$G$49,5,FALSE))</f>
        <v>0.24230000000000002</v>
      </c>
      <c r="S26" s="48"/>
    </row>
    <row r="27" spans="1:19" ht="28.5" x14ac:dyDescent="0.2">
      <c r="A27" s="48" t="s">
        <v>101</v>
      </c>
      <c r="B27" s="51" t="s">
        <v>70</v>
      </c>
      <c r="C27" s="48" t="str">
        <f t="shared" si="0"/>
        <v>Obras Portuárias, Marítimas e Fluviais-AC</v>
      </c>
      <c r="D27" s="48"/>
      <c r="E27" s="52">
        <v>0.04</v>
      </c>
      <c r="F27" s="52">
        <v>5.5199999999999999E-2</v>
      </c>
      <c r="G27" s="52">
        <v>7.85E-2</v>
      </c>
      <c r="H27" s="48"/>
      <c r="I27" s="501" t="s">
        <v>102</v>
      </c>
      <c r="J27" s="501"/>
      <c r="K27" s="501"/>
      <c r="L27" s="501"/>
      <c r="M27" s="63" t="s">
        <v>103</v>
      </c>
      <c r="N27" s="64">
        <f>IF($I$11=$A$58,0,ROUND((((1+N18+N19+N20)*(1+N21)*(1+N22)/(1-(N23+N24+N25)))-1),4))</f>
        <v>0.23630000000000001</v>
      </c>
      <c r="O27" s="65" t="str">
        <f>IF(Q11&lt;&gt;"Sim","",O26)</f>
        <v/>
      </c>
      <c r="P27" s="502"/>
      <c r="Q27" s="502"/>
      <c r="R27" s="502"/>
      <c r="S27" s="48"/>
    </row>
    <row r="28" spans="1:19" x14ac:dyDescent="0.2">
      <c r="A28" s="48" t="str">
        <f>A27</f>
        <v>Obras Portuárias, Marítimas e Fluviais</v>
      </c>
      <c r="B28" s="51" t="s">
        <v>71</v>
      </c>
      <c r="C28" s="48" t="str">
        <f t="shared" si="0"/>
        <v>Obras Portuárias, Marítimas e Fluviais-SG</v>
      </c>
      <c r="D28" s="48"/>
      <c r="E28" s="52">
        <v>8.1000000000000013E-3</v>
      </c>
      <c r="F28" s="52">
        <v>1.2199999999999999E-2</v>
      </c>
      <c r="G28" s="52">
        <v>1.9900000000000001E-2</v>
      </c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</row>
    <row r="29" spans="1:19" ht="23.25" x14ac:dyDescent="0.2">
      <c r="A29" s="48" t="str">
        <f>A28</f>
        <v>Obras Portuárias, Marítimas e Fluviais</v>
      </c>
      <c r="B29" s="51" t="s">
        <v>72</v>
      </c>
      <c r="C29" s="48" t="str">
        <f t="shared" si="0"/>
        <v>Obras Portuárias, Marítimas e Fluviais-R</v>
      </c>
      <c r="D29" s="48"/>
      <c r="E29" s="52">
        <v>1.46E-2</v>
      </c>
      <c r="F29" s="52">
        <v>2.3199999999999998E-2</v>
      </c>
      <c r="G29" s="52">
        <v>3.1600000000000003E-2</v>
      </c>
      <c r="H29" s="48"/>
      <c r="I29" s="66" t="str">
        <f>IF(V29,"X","")</f>
        <v/>
      </c>
      <c r="J29" s="498" t="s">
        <v>104</v>
      </c>
      <c r="K29" s="498"/>
      <c r="L29" s="498"/>
      <c r="M29" s="498"/>
      <c r="N29" s="498"/>
      <c r="O29" s="498"/>
      <c r="P29" s="498"/>
      <c r="Q29" s="498"/>
      <c r="R29" s="498"/>
      <c r="S29" s="48"/>
    </row>
    <row r="30" spans="1:19" x14ac:dyDescent="0.2">
      <c r="A30" s="48"/>
      <c r="B30" s="51"/>
      <c r="C30" s="48"/>
      <c r="D30" s="48"/>
      <c r="E30" s="52"/>
      <c r="F30" s="52"/>
      <c r="G30" s="52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</row>
    <row r="31" spans="1:19" x14ac:dyDescent="0.2">
      <c r="A31" s="48"/>
      <c r="B31" s="51"/>
      <c r="C31" s="48"/>
      <c r="D31" s="48"/>
      <c r="E31" s="52"/>
      <c r="F31" s="52"/>
      <c r="G31" s="52"/>
      <c r="H31" s="48"/>
      <c r="I31" s="485" t="s">
        <v>105</v>
      </c>
      <c r="J31" s="485"/>
      <c r="K31" s="485"/>
      <c r="L31" s="485"/>
      <c r="M31" s="485"/>
      <c r="N31" s="485"/>
      <c r="O31" s="485"/>
      <c r="P31" s="485"/>
      <c r="Q31" s="485"/>
      <c r="R31" s="485"/>
      <c r="S31" s="48"/>
    </row>
    <row r="32" spans="1:19" ht="15.75" x14ac:dyDescent="0.25">
      <c r="A32" s="48" t="str">
        <f>A29</f>
        <v>Obras Portuárias, Marítimas e Fluviais</v>
      </c>
      <c r="B32" s="51" t="s">
        <v>75</v>
      </c>
      <c r="C32" s="48" t="str">
        <f t="shared" si="0"/>
        <v>Obras Portuárias, Marítimas e Fluviais-DF</v>
      </c>
      <c r="D32" s="48"/>
      <c r="E32" s="52">
        <v>9.3999999999999986E-3</v>
      </c>
      <c r="F32" s="52">
        <v>1.0200000000000001E-2</v>
      </c>
      <c r="G32" s="52">
        <v>1.3300000000000001E-2</v>
      </c>
      <c r="H32" s="48"/>
      <c r="I32" s="67"/>
      <c r="J32" s="67"/>
      <c r="K32" s="67"/>
      <c r="L32" s="486" t="str">
        <f>IF(Q11="Sim","BDI.DES =","BDI.PAD =")</f>
        <v>BDI.PAD =</v>
      </c>
      <c r="M32" s="487" t="str">
        <f>IF($I$11=$A$59,"(1+K1+K2)*(1+K3)","(1+AC + S + R + G)*(1 + DF)*(1+L)")</f>
        <v>(1+AC + S + R + G)*(1 + DF)*(1+L)</v>
      </c>
      <c r="N32" s="487"/>
      <c r="O32" s="487"/>
      <c r="P32" s="488" t="s">
        <v>106</v>
      </c>
      <c r="Q32" s="67"/>
      <c r="R32" s="67"/>
      <c r="S32" s="48"/>
    </row>
    <row r="33" spans="1:19" ht="15.75" x14ac:dyDescent="0.2">
      <c r="A33" s="48" t="str">
        <f>A32</f>
        <v>Obras Portuárias, Marítimas e Fluviais</v>
      </c>
      <c r="B33" s="51" t="s">
        <v>76</v>
      </c>
      <c r="C33" s="48" t="str">
        <f t="shared" si="0"/>
        <v>Obras Portuárias, Marítimas e Fluviais-L</v>
      </c>
      <c r="D33" s="48"/>
      <c r="E33" s="52">
        <v>7.1399999999999991E-2</v>
      </c>
      <c r="F33" s="52">
        <v>8.4000000000000005E-2</v>
      </c>
      <c r="G33" s="52">
        <v>0.1043</v>
      </c>
      <c r="H33" s="48"/>
      <c r="I33" s="67"/>
      <c r="J33" s="67"/>
      <c r="K33" s="67"/>
      <c r="L33" s="486"/>
      <c r="M33" s="490" t="str">
        <f>IF(Q11="Sim","(1-CP-ISS-CRPB)","(1-CP-ISS)")</f>
        <v>(1-CP-ISS)</v>
      </c>
      <c r="N33" s="490"/>
      <c r="O33" s="490"/>
      <c r="P33" s="489"/>
      <c r="Q33" s="67"/>
      <c r="R33" s="67"/>
      <c r="S33" s="48"/>
    </row>
    <row r="34" spans="1:19" x14ac:dyDescent="0.2">
      <c r="A34" s="48" t="str">
        <f>A33</f>
        <v>Obras Portuárias, Marítimas e Fluviais</v>
      </c>
      <c r="B34" s="55" t="s">
        <v>77</v>
      </c>
      <c r="C34" s="48" t="str">
        <f t="shared" si="0"/>
        <v>Obras Portuárias, Marítimas e Fluviais-BDI PAD</v>
      </c>
      <c r="D34" s="48"/>
      <c r="E34" s="52">
        <v>0.22800000000000001</v>
      </c>
      <c r="F34" s="52">
        <v>0.27479999999999999</v>
      </c>
      <c r="G34" s="52">
        <v>0.3095</v>
      </c>
      <c r="H34" s="4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48"/>
    </row>
    <row r="35" spans="1:19" ht="49.5" customHeight="1" x14ac:dyDescent="0.2">
      <c r="A35" s="48"/>
      <c r="B35" s="55"/>
      <c r="C35" s="48"/>
      <c r="D35" s="48"/>
      <c r="E35" s="52"/>
      <c r="F35" s="52"/>
      <c r="G35" s="52"/>
      <c r="H35" s="48"/>
      <c r="I35" s="491" t="str">
        <f>CONCATENATE("Declaro para os devidos fins que, conforme legislação tributária municipal, a base de cálculo para ",I11,", é de ",Q13*100,"%, com a respectiva alíquota de ",Q14*100,"%.")</f>
        <v>Declaro para os devidos fins que, conforme legislação tributária municipal, a base de cálculo para Construção de Praças Urbanas, Rodovias, Ferrovias e recapeamento e pavimentação de vias urbanas, é de 100%, com a respectiva alíquota de 2%.</v>
      </c>
      <c r="J35" s="491"/>
      <c r="K35" s="491"/>
      <c r="L35" s="491"/>
      <c r="M35" s="491"/>
      <c r="N35" s="491"/>
      <c r="O35" s="491"/>
      <c r="P35" s="491"/>
      <c r="Q35" s="491"/>
      <c r="R35" s="491"/>
      <c r="S35" s="48"/>
    </row>
    <row r="36" spans="1:19" x14ac:dyDescent="0.2">
      <c r="A36" s="48"/>
      <c r="B36" s="55"/>
      <c r="C36" s="48"/>
      <c r="D36" s="48"/>
      <c r="E36" s="52"/>
      <c r="F36" s="52"/>
      <c r="G36" s="52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</row>
    <row r="37" spans="1:19" ht="47.25" customHeight="1" x14ac:dyDescent="0.2">
      <c r="A37" s="48"/>
      <c r="B37" s="55"/>
      <c r="C37" s="48"/>
      <c r="D37" s="48"/>
      <c r="E37" s="52"/>
      <c r="F37" s="52"/>
      <c r="G37" s="52"/>
      <c r="H37" s="48"/>
      <c r="I37" s="491" t="str">
        <f>CONCATENATE("Declaro para os devidos fins que o regime de Contribuição Previdenciária sobre a Receita Bruta adotado para elaboração do orçamento foi ",IF(Q11="Sim","COM","SEM")," Desoneração, e que esta é a alternativa mais adequada para a Administração Pública.")</f>
        <v>Declaro para os devidos fins que o regime de Contribuição Previdenciária sobre a Receita Bruta adotado para elaboração do orçamento foi SEM Desoneração, e que esta é a alternativa mais adequada para a Administração Pública.</v>
      </c>
      <c r="J37" s="491"/>
      <c r="K37" s="491"/>
      <c r="L37" s="491"/>
      <c r="M37" s="491"/>
      <c r="N37" s="491"/>
      <c r="O37" s="491"/>
      <c r="P37" s="491"/>
      <c r="Q37" s="491"/>
      <c r="R37" s="491"/>
      <c r="S37" s="48"/>
    </row>
    <row r="38" spans="1:19" x14ac:dyDescent="0.2">
      <c r="A38" s="48" t="s">
        <v>107</v>
      </c>
      <c r="B38" s="51" t="s">
        <v>70</v>
      </c>
      <c r="C38" s="48" t="str">
        <f t="shared" si="0"/>
        <v>Fornecimento de Materiais e Equipamentos (aquisição indireta - em conjunto com licitação de obras)-AC</v>
      </c>
      <c r="D38" s="48"/>
      <c r="E38" s="52">
        <v>1.4999999999999999E-2</v>
      </c>
      <c r="F38" s="52">
        <v>3.4500000000000003E-2</v>
      </c>
      <c r="G38" s="52">
        <v>4.4900000000000002E-2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</row>
    <row r="39" spans="1:19" x14ac:dyDescent="0.2">
      <c r="A39" s="48" t="str">
        <f>A38</f>
        <v>Fornecimento de Materiais e Equipamentos (aquisição indireta - em conjunto com licitação de obras)</v>
      </c>
      <c r="B39" s="51" t="s">
        <v>71</v>
      </c>
      <c r="C39" s="48" t="str">
        <f t="shared" si="0"/>
        <v>Fornecimento de Materiais e Equipamentos (aquisição indireta - em conjunto com licitação de obras)-SG</v>
      </c>
      <c r="D39" s="48"/>
      <c r="E39" s="52">
        <v>3.0000000000000001E-3</v>
      </c>
      <c r="F39" s="52">
        <v>4.7999999999999996E-3</v>
      </c>
      <c r="G39" s="52">
        <v>8.199999999999999E-3</v>
      </c>
      <c r="H39" s="48"/>
      <c r="I39" s="48" t="s">
        <v>108</v>
      </c>
      <c r="J39" s="48"/>
      <c r="K39" s="48"/>
      <c r="L39" s="48"/>
      <c r="M39" s="48"/>
      <c r="N39" s="48"/>
      <c r="O39" s="48"/>
      <c r="P39" s="48"/>
      <c r="Q39" s="48"/>
      <c r="R39" s="48"/>
      <c r="S39" s="48"/>
    </row>
    <row r="40" spans="1:19" ht="52.5" customHeight="1" x14ac:dyDescent="0.2">
      <c r="A40" s="48" t="str">
        <f>A39</f>
        <v>Fornecimento de Materiais e Equipamentos (aquisição indireta - em conjunto com licitação de obras)</v>
      </c>
      <c r="B40" s="51" t="s">
        <v>72</v>
      </c>
      <c r="C40" s="48" t="str">
        <f t="shared" si="0"/>
        <v>Fornecimento de Materiais e Equipamentos (aquisição indireta - em conjunto com licitação de obras)-R</v>
      </c>
      <c r="D40" s="48"/>
      <c r="E40" s="52">
        <v>5.6000000000000008E-3</v>
      </c>
      <c r="F40" s="52">
        <v>8.5000000000000006E-3</v>
      </c>
      <c r="G40" s="52">
        <v>8.8999999999999999E-3</v>
      </c>
      <c r="H40" s="48"/>
      <c r="I40" s="492"/>
      <c r="J40" s="493"/>
      <c r="K40" s="493"/>
      <c r="L40" s="493"/>
      <c r="M40" s="493"/>
      <c r="N40" s="493"/>
      <c r="O40" s="493"/>
      <c r="P40" s="493"/>
      <c r="Q40" s="493"/>
      <c r="R40" s="494"/>
      <c r="S40" s="48"/>
    </row>
    <row r="41" spans="1:19" x14ac:dyDescent="0.2">
      <c r="A41" s="48" t="str">
        <f>A40</f>
        <v>Fornecimento de Materiais e Equipamentos (aquisição indireta - em conjunto com licitação de obras)</v>
      </c>
      <c r="B41" s="51" t="s">
        <v>75</v>
      </c>
      <c r="C41" s="48" t="str">
        <f t="shared" si="0"/>
        <v>Fornecimento de Materiais e Equipamentos (aquisição indireta - em conjunto com licitação de obras)-DF</v>
      </c>
      <c r="D41" s="48"/>
      <c r="E41" s="52">
        <v>8.5000000000000006E-3</v>
      </c>
      <c r="F41" s="52">
        <v>8.5000000000000006E-3</v>
      </c>
      <c r="G41" s="52">
        <v>1.11E-2</v>
      </c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</row>
    <row r="42" spans="1:19" x14ac:dyDescent="0.2">
      <c r="A42" s="48" t="str">
        <f>A41</f>
        <v>Fornecimento de Materiais e Equipamentos (aquisição indireta - em conjunto com licitação de obras)</v>
      </c>
      <c r="B42" s="51" t="s">
        <v>76</v>
      </c>
      <c r="C42" s="48" t="str">
        <f t="shared" si="0"/>
        <v>Fornecimento de Materiais e Equipamentos (aquisição indireta - em conjunto com licitação de obras)-L</v>
      </c>
      <c r="D42" s="48"/>
      <c r="E42" s="52">
        <v>3.5000000000000003E-2</v>
      </c>
      <c r="F42" s="52">
        <v>5.1100000000000007E-2</v>
      </c>
      <c r="G42" s="52">
        <v>6.2199999999999998E-2</v>
      </c>
      <c r="H42" s="48"/>
      <c r="I42" s="495" t="str">
        <f>[1]PO!K45</f>
        <v>PAPAGAIOS / MG</v>
      </c>
      <c r="J42" s="495"/>
      <c r="K42" s="495"/>
      <c r="L42" s="495"/>
      <c r="M42" s="48"/>
      <c r="N42" s="48"/>
      <c r="O42" s="496">
        <f ca="1">TODAY()</f>
        <v>45817</v>
      </c>
      <c r="P42" s="496"/>
      <c r="Q42" s="496"/>
      <c r="R42" s="496"/>
      <c r="S42" s="48"/>
    </row>
    <row r="43" spans="1:19" x14ac:dyDescent="0.2">
      <c r="A43" s="48" t="str">
        <f>A42</f>
        <v>Fornecimento de Materiais e Equipamentos (aquisição indireta - em conjunto com licitação de obras)</v>
      </c>
      <c r="B43" s="55" t="s">
        <v>77</v>
      </c>
      <c r="C43" s="48" t="str">
        <f t="shared" si="0"/>
        <v>Fornecimento de Materiais e Equipamentos (aquisição indireta - em conjunto com licitação de obras)-BDI PAD</v>
      </c>
      <c r="D43" s="48"/>
      <c r="E43" s="52">
        <v>0.111</v>
      </c>
      <c r="F43" s="52">
        <v>0.14019999999999999</v>
      </c>
      <c r="G43" s="52">
        <v>0.16800000000000001</v>
      </c>
      <c r="H43" s="48"/>
      <c r="I43" s="497" t="s">
        <v>109</v>
      </c>
      <c r="J43" s="497"/>
      <c r="K43" s="497"/>
      <c r="L43" s="497"/>
      <c r="M43" s="48"/>
      <c r="N43" s="69"/>
      <c r="O43" s="70" t="s">
        <v>110</v>
      </c>
      <c r="P43" s="71"/>
      <c r="Q43" s="71"/>
      <c r="R43" s="71"/>
      <c r="S43" s="48"/>
    </row>
    <row r="44" spans="1:19" x14ac:dyDescent="0.2">
      <c r="A44" s="48" t="s">
        <v>111</v>
      </c>
      <c r="B44" s="51" t="s">
        <v>112</v>
      </c>
      <c r="C44" s="48" t="str">
        <f t="shared" si="0"/>
        <v>Estudos e Projetos, Planos e Gerenciamento e outros correlatos-K1</v>
      </c>
      <c r="D44" s="48"/>
      <c r="E44" s="52" t="s">
        <v>92</v>
      </c>
      <c r="F44" s="52" t="s">
        <v>92</v>
      </c>
      <c r="G44" s="52" t="s">
        <v>92</v>
      </c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</row>
    <row r="45" spans="1:19" ht="15" x14ac:dyDescent="0.2">
      <c r="A45" s="48" t="str">
        <f>A44</f>
        <v>Estudos e Projetos, Planos e Gerenciamento e outros correlatos</v>
      </c>
      <c r="B45" s="51" t="s">
        <v>113</v>
      </c>
      <c r="C45" s="48" t="str">
        <f t="shared" si="0"/>
        <v>Estudos e Projetos, Planos e Gerenciamento e outros correlatos-K2</v>
      </c>
      <c r="D45" s="48"/>
      <c r="E45" s="52" t="s">
        <v>92</v>
      </c>
      <c r="F45" s="52">
        <v>0.2</v>
      </c>
      <c r="G45" s="52" t="s">
        <v>92</v>
      </c>
      <c r="H45" s="48"/>
      <c r="I45" s="484"/>
      <c r="J45" s="484"/>
      <c r="K45" s="484"/>
      <c r="L45" s="484"/>
      <c r="M45" s="72"/>
      <c r="N45" s="72"/>
      <c r="O45" s="484"/>
      <c r="P45" s="484"/>
      <c r="Q45" s="484"/>
      <c r="R45" s="484"/>
      <c r="S45" s="48"/>
    </row>
    <row r="46" spans="1:19" x14ac:dyDescent="0.2">
      <c r="A46" s="48" t="str">
        <f>A45</f>
        <v>Estudos e Projetos, Planos e Gerenciamento e outros correlatos</v>
      </c>
      <c r="B46" s="51" t="s">
        <v>114</v>
      </c>
      <c r="C46" s="48" t="str">
        <f t="shared" si="0"/>
        <v>Estudos e Projetos, Planos e Gerenciamento e outros correlatos-</v>
      </c>
      <c r="D46" s="48"/>
      <c r="E46" s="52" t="s">
        <v>92</v>
      </c>
      <c r="F46" s="52" t="s">
        <v>92</v>
      </c>
      <c r="G46" s="52" t="s">
        <v>92</v>
      </c>
      <c r="H46" s="48"/>
      <c r="I46" s="482" t="s">
        <v>115</v>
      </c>
      <c r="J46" s="482"/>
      <c r="K46" s="482"/>
      <c r="L46" s="482"/>
      <c r="M46" s="48"/>
      <c r="N46" s="48"/>
      <c r="O46" s="482" t="s">
        <v>116</v>
      </c>
      <c r="P46" s="482"/>
      <c r="Q46" s="482"/>
      <c r="R46" s="482"/>
      <c r="S46" s="48"/>
    </row>
    <row r="47" spans="1:19" ht="14.25" x14ac:dyDescent="0.2">
      <c r="A47" s="48" t="str">
        <f>A46</f>
        <v>Estudos e Projetos, Planos e Gerenciamento e outros correlatos</v>
      </c>
      <c r="B47" s="51" t="s">
        <v>114</v>
      </c>
      <c r="C47" s="48" t="str">
        <f t="shared" si="0"/>
        <v>Estudos e Projetos, Planos e Gerenciamento e outros correlatos-</v>
      </c>
      <c r="D47" s="48"/>
      <c r="E47" s="52" t="s">
        <v>92</v>
      </c>
      <c r="F47" s="52" t="s">
        <v>92</v>
      </c>
      <c r="G47" s="52" t="s">
        <v>92</v>
      </c>
      <c r="H47" s="48"/>
      <c r="I47" s="73" t="s">
        <v>117</v>
      </c>
      <c r="J47" s="481" t="s">
        <v>137</v>
      </c>
      <c r="K47" s="481"/>
      <c r="L47" s="481"/>
      <c r="M47" s="72"/>
      <c r="N47" s="72"/>
      <c r="O47" s="73" t="s">
        <v>117</v>
      </c>
      <c r="P47" s="483" t="s">
        <v>156</v>
      </c>
      <c r="Q47" s="483"/>
      <c r="R47" s="483"/>
      <c r="S47" s="48"/>
    </row>
    <row r="48" spans="1:19" ht="14.25" x14ac:dyDescent="0.2">
      <c r="A48" s="48" t="str">
        <f>A47</f>
        <v>Estudos e Projetos, Planos e Gerenciamento e outros correlatos</v>
      </c>
      <c r="B48" s="51" t="s">
        <v>118</v>
      </c>
      <c r="C48" s="48" t="str">
        <f t="shared" si="0"/>
        <v>Estudos e Projetos, Planos e Gerenciamento e outros correlatos-K3</v>
      </c>
      <c r="D48" s="48"/>
      <c r="E48" s="52" t="s">
        <v>92</v>
      </c>
      <c r="F48" s="52">
        <v>0.12</v>
      </c>
      <c r="G48" s="52" t="s">
        <v>92</v>
      </c>
      <c r="H48" s="48"/>
      <c r="I48" s="73" t="s">
        <v>119</v>
      </c>
      <c r="J48" s="481" t="s">
        <v>138</v>
      </c>
      <c r="K48" s="481"/>
      <c r="L48" s="481"/>
      <c r="M48" s="72"/>
      <c r="N48" s="72"/>
      <c r="O48" s="73" t="s">
        <v>120</v>
      </c>
      <c r="P48" s="483" t="s">
        <v>157</v>
      </c>
      <c r="Q48" s="483"/>
      <c r="R48" s="483"/>
      <c r="S48" s="48"/>
    </row>
    <row r="49" spans="1:19" ht="14.25" x14ac:dyDescent="0.2">
      <c r="A49" s="48" t="str">
        <f>A48</f>
        <v>Estudos e Projetos, Planos e Gerenciamento e outros correlatos</v>
      </c>
      <c r="B49" s="55" t="s">
        <v>77</v>
      </c>
      <c r="C49" s="48" t="str">
        <f t="shared" si="0"/>
        <v>Estudos e Projetos, Planos e Gerenciamento e outros correlatos-BDI PAD</v>
      </c>
      <c r="D49" s="48"/>
      <c r="E49" s="52" t="s">
        <v>92</v>
      </c>
      <c r="F49" s="52" t="s">
        <v>92</v>
      </c>
      <c r="G49" s="52" t="s">
        <v>92</v>
      </c>
      <c r="H49" s="48"/>
      <c r="I49" s="73" t="str">
        <f>[1]DADOS!A56</f>
        <v>CREA/CAU:</v>
      </c>
      <c r="J49" s="481" t="s">
        <v>139</v>
      </c>
      <c r="K49" s="481"/>
      <c r="L49" s="481"/>
      <c r="M49" s="72"/>
      <c r="N49" s="72"/>
      <c r="O49" s="72"/>
      <c r="P49" s="72"/>
      <c r="Q49" s="72"/>
      <c r="R49" s="72"/>
      <c r="S49" s="48"/>
    </row>
    <row r="50" spans="1:19" x14ac:dyDescent="0.2">
      <c r="A50" s="48"/>
      <c r="B50" s="48"/>
      <c r="C50" s="48"/>
      <c r="D50" s="48"/>
      <c r="E50" s="48"/>
      <c r="F50" s="48"/>
      <c r="G50" s="48"/>
      <c r="H50" s="48"/>
      <c r="I50" s="73" t="str">
        <f>[1]DADOS!A57</f>
        <v>ART/RRT:</v>
      </c>
      <c r="J50" s="481"/>
      <c r="K50" s="481"/>
      <c r="L50" s="481"/>
      <c r="M50" s="48"/>
      <c r="N50" s="48"/>
      <c r="O50" s="48"/>
      <c r="P50" s="48"/>
      <c r="Q50" s="48"/>
      <c r="R50" s="48"/>
      <c r="S50" s="48"/>
    </row>
    <row r="51" spans="1:19" x14ac:dyDescent="0.2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</row>
  </sheetData>
  <mergeCells count="54">
    <mergeCell ref="I8:R8"/>
    <mergeCell ref="I4:J4"/>
    <mergeCell ref="K4:R4"/>
    <mergeCell ref="I5:J5"/>
    <mergeCell ref="K5:R5"/>
    <mergeCell ref="I7:R7"/>
    <mergeCell ref="I10:P10"/>
    <mergeCell ref="Q10:R10"/>
    <mergeCell ref="I11:P11"/>
    <mergeCell ref="Q11:R11"/>
    <mergeCell ref="I13:P13"/>
    <mergeCell ref="Q13:R13"/>
    <mergeCell ref="I14:P14"/>
    <mergeCell ref="Q14:R14"/>
    <mergeCell ref="I16:L17"/>
    <mergeCell ref="M16:M17"/>
    <mergeCell ref="N16:N17"/>
    <mergeCell ref="O16:O17"/>
    <mergeCell ref="P16:P17"/>
    <mergeCell ref="Q16:Q17"/>
    <mergeCell ref="R16:R17"/>
    <mergeCell ref="J29:R29"/>
    <mergeCell ref="I18:L18"/>
    <mergeCell ref="I19:L19"/>
    <mergeCell ref="I20:L20"/>
    <mergeCell ref="I21:L21"/>
    <mergeCell ref="I22:L22"/>
    <mergeCell ref="I23:L23"/>
    <mergeCell ref="I24:L24"/>
    <mergeCell ref="I25:L25"/>
    <mergeCell ref="I26:L26"/>
    <mergeCell ref="I27:L27"/>
    <mergeCell ref="P27:R27"/>
    <mergeCell ref="I45:L45"/>
    <mergeCell ref="O45:R45"/>
    <mergeCell ref="I31:R31"/>
    <mergeCell ref="L32:L33"/>
    <mergeCell ref="M32:O32"/>
    <mergeCell ref="P32:P33"/>
    <mergeCell ref="M33:O33"/>
    <mergeCell ref="I35:R35"/>
    <mergeCell ref="I37:R37"/>
    <mergeCell ref="I40:R40"/>
    <mergeCell ref="I42:L42"/>
    <mergeCell ref="O42:R42"/>
    <mergeCell ref="I43:L43"/>
    <mergeCell ref="J49:L49"/>
    <mergeCell ref="J50:L50"/>
    <mergeCell ref="I46:L46"/>
    <mergeCell ref="O46:R46"/>
    <mergeCell ref="J47:L47"/>
    <mergeCell ref="P47:R47"/>
    <mergeCell ref="J48:L48"/>
    <mergeCell ref="P48:R48"/>
  </mergeCells>
  <conditionalFormatting sqref="I26:N26">
    <cfRule type="expression" dxfId="8" priority="7" stopIfTrue="1">
      <formula>$Q$11="Não"</formula>
    </cfRule>
  </conditionalFormatting>
  <conditionalFormatting sqref="I27:N27">
    <cfRule type="expression" dxfId="7" priority="6" stopIfTrue="1">
      <formula>$Q$11="sim"</formula>
    </cfRule>
  </conditionalFormatting>
  <conditionalFormatting sqref="I29:R29">
    <cfRule type="expression" dxfId="6" priority="2" stopIfTrue="1">
      <formula>AND(NOT($V$27),NOT($V$29))</formula>
    </cfRule>
  </conditionalFormatting>
  <conditionalFormatting sqref="O18:O27">
    <cfRule type="expression" dxfId="5" priority="8" stopIfTrue="1">
      <formula>AND(O18&lt;&gt;"OK",O18&lt;&gt;"-",O18&lt;&gt;"")</formula>
    </cfRule>
    <cfRule type="cellIs" dxfId="4" priority="9" stopIfTrue="1" operator="equal">
      <formula>"OK"</formula>
    </cfRule>
  </conditionalFormatting>
  <conditionalFormatting sqref="O42">
    <cfRule type="expression" dxfId="3" priority="3" stopIfTrue="1">
      <formula>$O$42=""</formula>
    </cfRule>
  </conditionalFormatting>
  <conditionalFormatting sqref="P18:R26">
    <cfRule type="expression" dxfId="2" priority="1" stopIfTrue="1">
      <formula>$I$11=$A$58</formula>
    </cfRule>
  </conditionalFormatting>
  <conditionalFormatting sqref="P27:R27">
    <cfRule type="expression" dxfId="1" priority="5" stopIfTrue="1">
      <formula>$Q$11="sim"</formula>
    </cfRule>
  </conditionalFormatting>
  <conditionalFormatting sqref="P47:R48">
    <cfRule type="expression" dxfId="0" priority="4" stopIfTrue="1">
      <formula>P47=""</formula>
    </cfRule>
  </conditionalFormatting>
  <dataValidations count="6">
    <dataValidation type="decimal" allowBlank="1" showInputMessage="1" showErrorMessage="1" errorTitle="Erro de valores" error="Digite um valor entre 0% e 100%" sqref="N18:N23" xr:uid="{00000000-0002-0000-0200-000000000000}">
      <formula1>0</formula1>
      <formula2>1</formula2>
    </dataValidation>
    <dataValidation type="decimal" operator="greaterThanOrEqual" allowBlank="1" showInputMessage="1" showErrorMessage="1" errorTitle="Valor não permitido" error="Digite um percentual entre 0% e 100%." promptTitle="Valores comuns:" prompt="Normalmente entre 2 e 5%." sqref="Q14:R14" xr:uid="{00000000-0002-0000-0200-000001000000}">
      <formula1>0</formula1>
    </dataValidation>
    <dataValidation type="decimal" allowBlank="1" showInputMessage="1" showErrorMessage="1" errorTitle="Valor não permitido" error="Digite um percentual entre 0% e 100%." promptTitle="Valores admissíveis:" prompt="Insira valores entre 0 e 100%." sqref="Q13:R13" xr:uid="{00000000-0002-0000-0200-000002000000}">
      <formula1>0</formula1>
      <formula2>1</formula2>
    </dataValidation>
    <dataValidation type="decimal" allowBlank="1" showInputMessage="1" showErrorMessage="1" errorTitle="Erro de valores" error="Digite um valor maior do que 0." sqref="N24" xr:uid="{00000000-0002-0000-0200-000003000000}">
      <formula1>0</formula1>
      <formula2>1</formula2>
    </dataValidation>
    <dataValidation operator="greaterThanOrEqual" allowBlank="1" showInputMessage="1" showErrorMessage="1" errorTitle="Erro de valores" error="Digite um valor igual a 0% ou 2%." sqref="N25" xr:uid="{00000000-0002-0000-0200-000004000000}"/>
    <dataValidation type="list" allowBlank="1" showInputMessage="1" showErrorMessage="1" sqref="I11:P11" xr:uid="{00000000-0002-0000-0200-000005000000}">
      <formula1>$A$52:$A$59</formula1>
    </dataValidation>
  </dataValidations>
  <pageMargins left="0.511811024" right="0.511811024" top="0.78740157499999996" bottom="0.78740157499999996" header="0.31496062000000002" footer="0.31496062000000002"/>
  <pageSetup paperSize="9" scale="88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PLANILHA</vt:lpstr>
      <vt:lpstr>CRONOGRAMA</vt:lpstr>
      <vt:lpstr>COMPOSIÇÃO BDI</vt:lpstr>
      <vt:lpstr>PLANILHA!Area_de_impressao</vt:lpstr>
      <vt:lpstr>PLANILHA!Titulos_de_impressao</vt:lpstr>
    </vt:vector>
  </TitlesOfParts>
  <Company>Setop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KARINA ÉRICA</cp:lastModifiedBy>
  <cp:lastPrinted>2025-06-09T13:51:39Z</cp:lastPrinted>
  <dcterms:created xsi:type="dcterms:W3CDTF">2006-09-22T13:55:22Z</dcterms:created>
  <dcterms:modified xsi:type="dcterms:W3CDTF">2025-06-09T13:52:40Z</dcterms:modified>
</cp:coreProperties>
</file>